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01"/>
  <workbookPr defaultThemeVersion="124226"/>
  <mc:AlternateContent xmlns:mc="http://schemas.openxmlformats.org/markup-compatibility/2006">
    <mc:Choice Requires="x15">
      <x15ac:absPath xmlns:x15ac="http://schemas.microsoft.com/office/spreadsheetml/2010/11/ac" url="C:\Users\anastacia\nus research\mediatek4-PUF\pufdb\"/>
    </mc:Choice>
  </mc:AlternateContent>
  <xr:revisionPtr revIDLastSave="0" documentId="13_ncr:1_{24C93EFD-3AC3-413A-8BA0-29AE80D676ED}" xr6:coauthVersionLast="38" xr6:coauthVersionMax="38" xr10:uidLastSave="{00000000-0000-0000-0000-000000000000}"/>
  <bookViews>
    <workbookView xWindow="0" yWindow="0" windowWidth="19200" windowHeight="6948" xr2:uid="{00000000-000D-0000-FFFF-FFFF00000000}"/>
  </bookViews>
  <sheets>
    <sheet name="README" sheetId="7" r:id="rId1"/>
    <sheet name="DEFINITION" sheetId="8" r:id="rId2"/>
    <sheet name="ASIC" sheetId="1" r:id="rId3"/>
    <sheet name="Data" sheetId="9" r:id="rId4"/>
    <sheet name="TRENDS" sheetId="10" r:id="rId5"/>
  </sheets>
  <definedNames>
    <definedName name="_xlnm._FilterDatabase" localSheetId="2" hidden="1">ASIC!$B$2:$AR$2</definedName>
    <definedName name="_xlnm.Print_Area" localSheetId="2">ASIC!$B$1:$AR$37</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09" i="9" l="1"/>
  <c r="E242" i="9"/>
  <c r="F209" i="9"/>
  <c r="G209" i="9"/>
  <c r="H209" i="9"/>
  <c r="I209" i="9"/>
  <c r="J209" i="9"/>
  <c r="E210" i="9"/>
  <c r="F210" i="9"/>
  <c r="G210" i="9"/>
  <c r="H210" i="9"/>
  <c r="I210" i="9"/>
  <c r="J210" i="9"/>
  <c r="E211" i="9"/>
  <c r="F211" i="9"/>
  <c r="G211" i="9"/>
  <c r="H211" i="9"/>
  <c r="I211" i="9"/>
  <c r="J211" i="9"/>
  <c r="E212" i="9"/>
  <c r="F212" i="9"/>
  <c r="G212" i="9"/>
  <c r="H212" i="9"/>
  <c r="I212" i="9"/>
  <c r="J212" i="9"/>
  <c r="E213" i="9"/>
  <c r="F213" i="9"/>
  <c r="G213" i="9"/>
  <c r="H213" i="9"/>
  <c r="I213" i="9"/>
  <c r="J213" i="9"/>
  <c r="E214" i="9"/>
  <c r="F214" i="9"/>
  <c r="G214" i="9"/>
  <c r="H214" i="9"/>
  <c r="I214" i="9"/>
  <c r="J214" i="9"/>
  <c r="E215" i="9"/>
  <c r="F215" i="9"/>
  <c r="G215" i="9"/>
  <c r="H215" i="9"/>
  <c r="I215" i="9"/>
  <c r="J215" i="9"/>
  <c r="E216" i="9"/>
  <c r="F216" i="9"/>
  <c r="G216" i="9"/>
  <c r="H216" i="9"/>
  <c r="I216" i="9"/>
  <c r="J216" i="9"/>
  <c r="E217" i="9"/>
  <c r="F217" i="9"/>
  <c r="G217" i="9"/>
  <c r="H217" i="9"/>
  <c r="I217" i="9"/>
  <c r="J217" i="9"/>
  <c r="E218" i="9"/>
  <c r="F218" i="9"/>
  <c r="G218" i="9"/>
  <c r="H218" i="9"/>
  <c r="I218" i="9"/>
  <c r="J218" i="9"/>
  <c r="E219" i="9"/>
  <c r="F219" i="9"/>
  <c r="G219" i="9"/>
  <c r="H219" i="9"/>
  <c r="I219" i="9"/>
  <c r="J219" i="9"/>
  <c r="E220" i="9"/>
  <c r="F220" i="9"/>
  <c r="G220" i="9"/>
  <c r="H220" i="9"/>
  <c r="I220" i="9"/>
  <c r="J220" i="9"/>
  <c r="E221" i="9"/>
  <c r="F221" i="9"/>
  <c r="G221" i="9"/>
  <c r="H221" i="9"/>
  <c r="I221" i="9"/>
  <c r="J221" i="9"/>
  <c r="E222" i="9"/>
  <c r="F222" i="9"/>
  <c r="G222" i="9"/>
  <c r="H222" i="9"/>
  <c r="I222" i="9"/>
  <c r="J222" i="9"/>
  <c r="E223" i="9"/>
  <c r="F223" i="9"/>
  <c r="G223" i="9"/>
  <c r="H223" i="9"/>
  <c r="I223" i="9"/>
  <c r="J223" i="9"/>
  <c r="E224" i="9"/>
  <c r="F224" i="9"/>
  <c r="G224" i="9"/>
  <c r="H224" i="9"/>
  <c r="I224" i="9"/>
  <c r="J224" i="9"/>
  <c r="E225" i="9"/>
  <c r="F225" i="9"/>
  <c r="G225" i="9"/>
  <c r="H225" i="9"/>
  <c r="I225" i="9"/>
  <c r="J225" i="9"/>
  <c r="E226" i="9"/>
  <c r="F226" i="9"/>
  <c r="G226" i="9"/>
  <c r="H226" i="9"/>
  <c r="I226" i="9"/>
  <c r="J226" i="9"/>
  <c r="E227" i="9"/>
  <c r="F227" i="9"/>
  <c r="G227" i="9"/>
  <c r="H227" i="9"/>
  <c r="I227" i="9"/>
  <c r="J227" i="9"/>
  <c r="E228" i="9"/>
  <c r="F228" i="9"/>
  <c r="G228" i="9"/>
  <c r="H228" i="9"/>
  <c r="I228" i="9"/>
  <c r="J228" i="9"/>
  <c r="E229" i="9"/>
  <c r="F229" i="9"/>
  <c r="G229" i="9"/>
  <c r="H229" i="9"/>
  <c r="I229" i="9"/>
  <c r="J229" i="9"/>
  <c r="E230" i="9"/>
  <c r="F230" i="9"/>
  <c r="G230" i="9"/>
  <c r="H230" i="9"/>
  <c r="I230" i="9"/>
  <c r="J230" i="9"/>
  <c r="E231" i="9"/>
  <c r="F231" i="9"/>
  <c r="G231" i="9"/>
  <c r="H231" i="9"/>
  <c r="I231" i="9"/>
  <c r="J231" i="9"/>
  <c r="E232" i="9"/>
  <c r="F232" i="9"/>
  <c r="G232" i="9"/>
  <c r="H232" i="9"/>
  <c r="I232" i="9"/>
  <c r="J232" i="9"/>
  <c r="E233" i="9"/>
  <c r="F233" i="9"/>
  <c r="G233" i="9"/>
  <c r="H233" i="9"/>
  <c r="I233" i="9"/>
  <c r="J233" i="9"/>
  <c r="E191" i="9"/>
  <c r="F191" i="9"/>
  <c r="G191" i="9"/>
  <c r="H191" i="9"/>
  <c r="I191" i="9"/>
  <c r="J191" i="9"/>
  <c r="E192" i="9"/>
  <c r="F192" i="9"/>
  <c r="G192" i="9"/>
  <c r="H192" i="9"/>
  <c r="I192" i="9"/>
  <c r="J192" i="9"/>
  <c r="E193" i="9"/>
  <c r="F193" i="9"/>
  <c r="G193" i="9"/>
  <c r="H193" i="9"/>
  <c r="I193" i="9"/>
  <c r="J193" i="9"/>
  <c r="E194" i="9"/>
  <c r="F194" i="9"/>
  <c r="G194" i="9"/>
  <c r="H194" i="9"/>
  <c r="I194" i="9"/>
  <c r="J194" i="9"/>
  <c r="E195" i="9"/>
  <c r="F195" i="9"/>
  <c r="G195" i="9"/>
  <c r="H195" i="9"/>
  <c r="I195" i="9"/>
  <c r="J195" i="9"/>
  <c r="E196" i="9"/>
  <c r="F196" i="9"/>
  <c r="G196" i="9"/>
  <c r="H196" i="9"/>
  <c r="I196" i="9"/>
  <c r="J196" i="9"/>
  <c r="E197" i="9"/>
  <c r="F197" i="9"/>
  <c r="G197" i="9"/>
  <c r="H197" i="9"/>
  <c r="I197" i="9"/>
  <c r="J197" i="9"/>
  <c r="E198" i="9"/>
  <c r="F198" i="9"/>
  <c r="G198" i="9"/>
  <c r="H198" i="9"/>
  <c r="I198" i="9"/>
  <c r="J198" i="9"/>
  <c r="E199" i="9"/>
  <c r="F199" i="9"/>
  <c r="G199" i="9"/>
  <c r="H199" i="9"/>
  <c r="I199" i="9"/>
  <c r="J199" i="9"/>
  <c r="E200" i="9"/>
  <c r="F200" i="9"/>
  <c r="G200" i="9"/>
  <c r="H200" i="9"/>
  <c r="I200" i="9"/>
  <c r="J200" i="9"/>
  <c r="E201" i="9"/>
  <c r="F201" i="9"/>
  <c r="G201" i="9"/>
  <c r="H201" i="9"/>
  <c r="I201" i="9"/>
  <c r="J201" i="9"/>
  <c r="E202" i="9"/>
  <c r="F202" i="9"/>
  <c r="G202" i="9"/>
  <c r="H202" i="9"/>
  <c r="I202" i="9"/>
  <c r="J202" i="9"/>
  <c r="E203" i="9"/>
  <c r="F203" i="9"/>
  <c r="G203" i="9"/>
  <c r="H203" i="9"/>
  <c r="I203" i="9"/>
  <c r="J203" i="9"/>
  <c r="E204" i="9"/>
  <c r="F204" i="9"/>
  <c r="G204" i="9"/>
  <c r="H204" i="9"/>
  <c r="I204" i="9"/>
  <c r="J204" i="9"/>
  <c r="E205" i="9"/>
  <c r="F205" i="9"/>
  <c r="G205" i="9"/>
  <c r="H205" i="9"/>
  <c r="I205" i="9"/>
  <c r="J205" i="9"/>
  <c r="E206" i="9"/>
  <c r="F206" i="9"/>
  <c r="G206" i="9"/>
  <c r="H206" i="9"/>
  <c r="I206" i="9"/>
  <c r="J206" i="9"/>
  <c r="E207" i="9"/>
  <c r="F207" i="9"/>
  <c r="G207" i="9"/>
  <c r="H207" i="9"/>
  <c r="I207" i="9"/>
  <c r="J207" i="9"/>
  <c r="E208" i="9"/>
  <c r="F208" i="9"/>
  <c r="G208" i="9"/>
  <c r="H208" i="9"/>
  <c r="I208" i="9"/>
  <c r="J208" i="9"/>
  <c r="E190" i="9"/>
  <c r="F190" i="9"/>
  <c r="G190" i="9"/>
  <c r="H190" i="9"/>
  <c r="I190" i="9"/>
  <c r="J190" i="9"/>
  <c r="E188" i="9"/>
  <c r="F188" i="9"/>
  <c r="G188" i="9"/>
  <c r="H188" i="9"/>
  <c r="I188" i="9"/>
  <c r="J188" i="9"/>
  <c r="E189" i="9"/>
  <c r="F189" i="9"/>
  <c r="G189" i="9"/>
  <c r="H189" i="9"/>
  <c r="I189" i="9"/>
  <c r="J189" i="9"/>
  <c r="E187" i="9"/>
  <c r="F187" i="9"/>
  <c r="G187" i="9"/>
  <c r="H187" i="9"/>
  <c r="I187" i="9"/>
  <c r="J187" i="9"/>
  <c r="E186" i="9"/>
  <c r="F186" i="9"/>
  <c r="G186" i="9"/>
  <c r="H186" i="9"/>
  <c r="I186" i="9"/>
  <c r="J186" i="9"/>
  <c r="E185" i="9"/>
  <c r="F185" i="9"/>
  <c r="G185" i="9"/>
  <c r="H185" i="9"/>
  <c r="I185" i="9"/>
  <c r="J185" i="9"/>
  <c r="E184" i="9"/>
  <c r="F184" i="9"/>
  <c r="G184" i="9"/>
  <c r="H184" i="9"/>
  <c r="I184" i="9"/>
  <c r="J184" i="9"/>
  <c r="E183" i="9"/>
  <c r="F183" i="9"/>
  <c r="G183" i="9"/>
  <c r="H183" i="9"/>
  <c r="I183" i="9"/>
  <c r="J183" i="9"/>
  <c r="E182" i="9"/>
  <c r="F182" i="9"/>
  <c r="G182" i="9"/>
  <c r="H182" i="9"/>
  <c r="I182" i="9"/>
  <c r="J182" i="9"/>
  <c r="E181" i="9"/>
  <c r="C209" i="9"/>
  <c r="C210" i="9"/>
  <c r="C211" i="9"/>
  <c r="C212" i="9"/>
  <c r="C213" i="9"/>
  <c r="C214" i="9"/>
  <c r="C215" i="9"/>
  <c r="C216" i="9"/>
  <c r="C217" i="9"/>
  <c r="C218" i="9"/>
  <c r="C219" i="9"/>
  <c r="C220" i="9"/>
  <c r="C221" i="9"/>
  <c r="C222" i="9"/>
  <c r="C223" i="9"/>
  <c r="C224" i="9"/>
  <c r="C225" i="9"/>
  <c r="C226" i="9"/>
  <c r="C227" i="9"/>
  <c r="C228" i="9"/>
  <c r="C229" i="9"/>
  <c r="C230" i="9"/>
  <c r="C231" i="9"/>
  <c r="C232" i="9"/>
  <c r="C233" i="9"/>
  <c r="C182" i="9"/>
  <c r="C183" i="9"/>
  <c r="C184" i="9"/>
  <c r="C185" i="9"/>
  <c r="C186" i="9"/>
  <c r="C187" i="9"/>
  <c r="C188" i="9"/>
  <c r="C189" i="9"/>
  <c r="C190" i="9"/>
  <c r="C191" i="9"/>
  <c r="C192" i="9"/>
  <c r="C193" i="9"/>
  <c r="C194" i="9"/>
  <c r="C195" i="9"/>
  <c r="C196" i="9"/>
  <c r="C197" i="9"/>
  <c r="C198" i="9"/>
  <c r="C199" i="9"/>
  <c r="C200" i="9"/>
  <c r="C201" i="9"/>
  <c r="C202" i="9"/>
  <c r="C203" i="9"/>
  <c r="C204" i="9"/>
  <c r="C205" i="9"/>
  <c r="C206" i="9"/>
  <c r="C207" i="9"/>
  <c r="C208" i="9"/>
  <c r="C181" i="9"/>
  <c r="B233" i="9"/>
  <c r="B209" i="9"/>
  <c r="B210" i="9"/>
  <c r="B211" i="9"/>
  <c r="B212" i="9"/>
  <c r="B213" i="9"/>
  <c r="B214" i="9"/>
  <c r="B215" i="9"/>
  <c r="B216" i="9"/>
  <c r="B217" i="9"/>
  <c r="B218" i="9"/>
  <c r="B219" i="9"/>
  <c r="B220" i="9"/>
  <c r="B221" i="9"/>
  <c r="B222" i="9"/>
  <c r="B223" i="9"/>
  <c r="B224" i="9"/>
  <c r="B225" i="9"/>
  <c r="B226" i="9"/>
  <c r="B227" i="9"/>
  <c r="B228" i="9"/>
  <c r="B229" i="9"/>
  <c r="B230" i="9"/>
  <c r="B231" i="9"/>
  <c r="B232" i="9"/>
  <c r="B182" i="9"/>
  <c r="B183" i="9"/>
  <c r="B184" i="9"/>
  <c r="B185" i="9"/>
  <c r="B186" i="9"/>
  <c r="B187" i="9"/>
  <c r="B188" i="9"/>
  <c r="B189" i="9"/>
  <c r="B190" i="9"/>
  <c r="B191" i="9"/>
  <c r="B192" i="9"/>
  <c r="B193" i="9"/>
  <c r="B194" i="9"/>
  <c r="B195" i="9"/>
  <c r="B196" i="9"/>
  <c r="B197" i="9"/>
  <c r="B198" i="9"/>
  <c r="B199" i="9"/>
  <c r="B200" i="9"/>
  <c r="B201" i="9"/>
  <c r="B202" i="9"/>
  <c r="B203" i="9"/>
  <c r="B204" i="9"/>
  <c r="B205" i="9"/>
  <c r="B206" i="9"/>
  <c r="B207" i="9"/>
  <c r="B208" i="9"/>
  <c r="B181" i="9"/>
  <c r="C151" i="9"/>
  <c r="D151" i="9"/>
  <c r="E151" i="9"/>
  <c r="F151" i="9"/>
  <c r="G151" i="9"/>
  <c r="C152" i="9"/>
  <c r="D152" i="9"/>
  <c r="E152" i="9"/>
  <c r="F152" i="9"/>
  <c r="G152" i="9"/>
  <c r="C153" i="9"/>
  <c r="D153" i="9"/>
  <c r="E153" i="9"/>
  <c r="F153" i="9"/>
  <c r="G153" i="9"/>
  <c r="C154" i="9"/>
  <c r="D154" i="9"/>
  <c r="E154" i="9"/>
  <c r="F154" i="9"/>
  <c r="G154" i="9"/>
  <c r="C155" i="9"/>
  <c r="D155" i="9"/>
  <c r="E155" i="9"/>
  <c r="F155" i="9"/>
  <c r="G155" i="9"/>
  <c r="C156" i="9"/>
  <c r="D156" i="9"/>
  <c r="E156" i="9"/>
  <c r="F156" i="9"/>
  <c r="G156" i="9"/>
  <c r="C157" i="9"/>
  <c r="D157" i="9"/>
  <c r="E157" i="9"/>
  <c r="F157" i="9"/>
  <c r="G157" i="9"/>
  <c r="C158" i="9"/>
  <c r="D158" i="9"/>
  <c r="E158" i="9"/>
  <c r="F158" i="9"/>
  <c r="G158" i="9"/>
  <c r="C159" i="9"/>
  <c r="D159" i="9"/>
  <c r="E159" i="9"/>
  <c r="F159" i="9"/>
  <c r="G159" i="9"/>
  <c r="C160" i="9"/>
  <c r="D160" i="9"/>
  <c r="E160" i="9"/>
  <c r="F160" i="9"/>
  <c r="G160" i="9"/>
  <c r="C161" i="9"/>
  <c r="D161" i="9"/>
  <c r="E161" i="9"/>
  <c r="F161" i="9"/>
  <c r="G161" i="9"/>
  <c r="C162" i="9"/>
  <c r="D162" i="9"/>
  <c r="E162" i="9"/>
  <c r="F162" i="9"/>
  <c r="G162" i="9"/>
  <c r="C163" i="9"/>
  <c r="D163" i="9"/>
  <c r="E163" i="9"/>
  <c r="F163" i="9"/>
  <c r="G163" i="9"/>
  <c r="C164" i="9"/>
  <c r="D164" i="9"/>
  <c r="E164" i="9"/>
  <c r="F164" i="9"/>
  <c r="G164" i="9"/>
  <c r="C165" i="9"/>
  <c r="D165" i="9"/>
  <c r="E165" i="9"/>
  <c r="F165" i="9"/>
  <c r="G165" i="9"/>
  <c r="C166" i="9"/>
  <c r="D166" i="9"/>
  <c r="E166" i="9"/>
  <c r="F166" i="9"/>
  <c r="G166" i="9"/>
  <c r="C167" i="9"/>
  <c r="D167" i="9"/>
  <c r="E167" i="9"/>
  <c r="F167" i="9"/>
  <c r="G167" i="9"/>
  <c r="C168" i="9"/>
  <c r="D168" i="9"/>
  <c r="E168" i="9"/>
  <c r="F168" i="9"/>
  <c r="G168" i="9"/>
  <c r="C169" i="9"/>
  <c r="D169" i="9"/>
  <c r="E169" i="9"/>
  <c r="F169" i="9"/>
  <c r="G169" i="9"/>
  <c r="C170" i="9"/>
  <c r="D170" i="9"/>
  <c r="E170" i="9"/>
  <c r="F170" i="9"/>
  <c r="G170" i="9"/>
  <c r="C171" i="9"/>
  <c r="D171" i="9"/>
  <c r="E171" i="9"/>
  <c r="F171" i="9"/>
  <c r="G171" i="9"/>
  <c r="C172" i="9"/>
  <c r="D172" i="9"/>
  <c r="E172" i="9"/>
  <c r="F172" i="9"/>
  <c r="G172" i="9"/>
  <c r="C173" i="9"/>
  <c r="D173" i="9"/>
  <c r="E173" i="9"/>
  <c r="F173" i="9"/>
  <c r="G173" i="9"/>
  <c r="C174" i="9"/>
  <c r="D174" i="9"/>
  <c r="E174" i="9"/>
  <c r="F174" i="9"/>
  <c r="G174" i="9"/>
  <c r="C175" i="9"/>
  <c r="D175" i="9"/>
  <c r="E175" i="9"/>
  <c r="F175" i="9"/>
  <c r="G175" i="9"/>
  <c r="C124" i="9"/>
  <c r="D124" i="9"/>
  <c r="E124" i="9"/>
  <c r="F124" i="9"/>
  <c r="G124" i="9"/>
  <c r="C125" i="9"/>
  <c r="V5" i="1"/>
  <c r="D125" i="9"/>
  <c r="E125" i="9"/>
  <c r="F125" i="9"/>
  <c r="G125" i="9"/>
  <c r="C126" i="9"/>
  <c r="D126" i="9"/>
  <c r="E126" i="9"/>
  <c r="F126" i="9"/>
  <c r="G126" i="9"/>
  <c r="C127" i="9"/>
  <c r="D127" i="9"/>
  <c r="E127" i="9"/>
  <c r="F127" i="9"/>
  <c r="G127" i="9"/>
  <c r="C128" i="9"/>
  <c r="D128" i="9"/>
  <c r="E128" i="9"/>
  <c r="F128" i="9"/>
  <c r="G128" i="9"/>
  <c r="V9" i="1"/>
  <c r="C129" i="9"/>
  <c r="D129" i="9"/>
  <c r="E129" i="9"/>
  <c r="F129" i="9"/>
  <c r="G129" i="9"/>
  <c r="V10" i="1"/>
  <c r="C130" i="9"/>
  <c r="D130" i="9"/>
  <c r="E130" i="9"/>
  <c r="F130" i="9"/>
  <c r="G130" i="9"/>
  <c r="C131" i="9"/>
  <c r="D131" i="9"/>
  <c r="E131" i="9"/>
  <c r="F131" i="9"/>
  <c r="G131" i="9"/>
  <c r="C132" i="9"/>
  <c r="D132" i="9"/>
  <c r="E132" i="9"/>
  <c r="F132" i="9"/>
  <c r="G132" i="9"/>
  <c r="V13" i="1"/>
  <c r="C133" i="9"/>
  <c r="D133" i="9"/>
  <c r="E133" i="9"/>
  <c r="F133" i="9"/>
  <c r="G133" i="9"/>
  <c r="C134" i="9"/>
  <c r="D134" i="9"/>
  <c r="E134" i="9"/>
  <c r="F134" i="9"/>
  <c r="G134" i="9"/>
  <c r="C135" i="9"/>
  <c r="D135" i="9"/>
  <c r="E135" i="9"/>
  <c r="F135" i="9"/>
  <c r="G135" i="9"/>
  <c r="C136" i="9"/>
  <c r="D136" i="9"/>
  <c r="E136" i="9"/>
  <c r="F136" i="9"/>
  <c r="G136" i="9"/>
  <c r="C137" i="9"/>
  <c r="D137" i="9"/>
  <c r="E137" i="9"/>
  <c r="F137" i="9"/>
  <c r="G137" i="9"/>
  <c r="C138" i="9"/>
  <c r="D138" i="9"/>
  <c r="E138" i="9"/>
  <c r="F138" i="9"/>
  <c r="G138" i="9"/>
  <c r="C139" i="9"/>
  <c r="D139" i="9"/>
  <c r="E139" i="9"/>
  <c r="F139" i="9"/>
  <c r="G139" i="9"/>
  <c r="C140" i="9"/>
  <c r="D140" i="9"/>
  <c r="E140" i="9"/>
  <c r="F140" i="9"/>
  <c r="G140" i="9"/>
  <c r="C141" i="9"/>
  <c r="D141" i="9"/>
  <c r="E141" i="9"/>
  <c r="F141" i="9"/>
  <c r="G141" i="9"/>
  <c r="C142" i="9"/>
  <c r="D142" i="9"/>
  <c r="E142" i="9"/>
  <c r="F142" i="9"/>
  <c r="G142" i="9"/>
  <c r="C143" i="9"/>
  <c r="D143" i="9"/>
  <c r="E143" i="9"/>
  <c r="F143" i="9"/>
  <c r="G143" i="9"/>
  <c r="C144" i="9"/>
  <c r="D144" i="9"/>
  <c r="E144" i="9"/>
  <c r="F144" i="9"/>
  <c r="G144" i="9"/>
  <c r="C145" i="9"/>
  <c r="D145" i="9"/>
  <c r="E145" i="9"/>
  <c r="F145" i="9"/>
  <c r="G145" i="9"/>
  <c r="C146" i="9"/>
  <c r="D146" i="9"/>
  <c r="E146" i="9"/>
  <c r="F146" i="9"/>
  <c r="G146" i="9"/>
  <c r="C147" i="9"/>
  <c r="D147" i="9"/>
  <c r="E147" i="9"/>
  <c r="F147" i="9"/>
  <c r="G147" i="9"/>
  <c r="C148" i="9"/>
  <c r="D148" i="9"/>
  <c r="E148" i="9"/>
  <c r="F148" i="9"/>
  <c r="G148" i="9"/>
  <c r="C149" i="9"/>
  <c r="D149" i="9"/>
  <c r="E149" i="9"/>
  <c r="F149" i="9"/>
  <c r="G149" i="9"/>
  <c r="C150" i="9"/>
  <c r="D150" i="9"/>
  <c r="E150" i="9"/>
  <c r="F150" i="9"/>
  <c r="G150" i="9"/>
  <c r="B175" i="9"/>
  <c r="B151" i="9"/>
  <c r="B152" i="9"/>
  <c r="B153" i="9"/>
  <c r="B154" i="9"/>
  <c r="B155" i="9"/>
  <c r="B156" i="9"/>
  <c r="B157" i="9"/>
  <c r="B158" i="9"/>
  <c r="B159" i="9"/>
  <c r="B160" i="9"/>
  <c r="B161" i="9"/>
  <c r="B162" i="9"/>
  <c r="B163" i="9"/>
  <c r="B164" i="9"/>
  <c r="B165" i="9"/>
  <c r="B166" i="9"/>
  <c r="B167" i="9"/>
  <c r="B168" i="9"/>
  <c r="B169" i="9"/>
  <c r="B170" i="9"/>
  <c r="B171" i="9"/>
  <c r="B172" i="9"/>
  <c r="B173" i="9"/>
  <c r="B174" i="9"/>
  <c r="B124" i="9"/>
  <c r="B125" i="9"/>
  <c r="B126" i="9"/>
  <c r="B127" i="9"/>
  <c r="B128" i="9"/>
  <c r="B129" i="9"/>
  <c r="B130" i="9"/>
  <c r="B131" i="9"/>
  <c r="B132" i="9"/>
  <c r="B133" i="9"/>
  <c r="B134" i="9"/>
  <c r="B135" i="9"/>
  <c r="B136" i="9"/>
  <c r="B137" i="9"/>
  <c r="B138" i="9"/>
  <c r="B139" i="9"/>
  <c r="B140" i="9"/>
  <c r="B141" i="9"/>
  <c r="B142" i="9"/>
  <c r="B143" i="9"/>
  <c r="B144" i="9"/>
  <c r="B145" i="9"/>
  <c r="B146" i="9"/>
  <c r="B147" i="9"/>
  <c r="B148" i="9"/>
  <c r="B149" i="9"/>
  <c r="B150" i="9"/>
  <c r="B123" i="9"/>
  <c r="S112" i="9"/>
  <c r="S113" i="9"/>
  <c r="B112" i="9"/>
  <c r="C112" i="9"/>
  <c r="D112" i="9"/>
  <c r="E112" i="9"/>
  <c r="F112" i="9"/>
  <c r="G112" i="9"/>
  <c r="B113" i="9"/>
  <c r="C113" i="9"/>
  <c r="D113" i="9"/>
  <c r="E113" i="9"/>
  <c r="F113" i="9"/>
  <c r="G113" i="9"/>
  <c r="S53" i="9"/>
  <c r="L51" i="9"/>
  <c r="L52" i="9"/>
  <c r="L53" i="9"/>
  <c r="L54" i="9"/>
  <c r="B53" i="9"/>
  <c r="C53" i="9"/>
  <c r="D53" i="9"/>
  <c r="E53" i="9"/>
  <c r="F53" i="9"/>
  <c r="G53" i="9"/>
  <c r="B54" i="9"/>
  <c r="C54" i="9"/>
  <c r="D54" i="9"/>
  <c r="E54" i="9"/>
  <c r="F54" i="9"/>
  <c r="G54" i="9"/>
  <c r="AI55" i="1"/>
  <c r="AH55" i="1"/>
  <c r="W55" i="1"/>
  <c r="AR54" i="1"/>
  <c r="AQ54" i="1"/>
  <c r="S110" i="9"/>
  <c r="C62" i="9"/>
  <c r="D62" i="9"/>
  <c r="E62" i="9"/>
  <c r="F62" i="9"/>
  <c r="G62" i="9"/>
  <c r="C63" i="9"/>
  <c r="D63" i="9"/>
  <c r="E63" i="9"/>
  <c r="F63" i="9"/>
  <c r="G63" i="9"/>
  <c r="C64" i="9"/>
  <c r="D64" i="9"/>
  <c r="E64" i="9"/>
  <c r="F64" i="9"/>
  <c r="G64" i="9"/>
  <c r="C65" i="9"/>
  <c r="D65" i="9"/>
  <c r="E65" i="9"/>
  <c r="F65" i="9"/>
  <c r="G65" i="9"/>
  <c r="C66" i="9"/>
  <c r="D66" i="9"/>
  <c r="E66" i="9"/>
  <c r="F66" i="9"/>
  <c r="G66" i="9"/>
  <c r="C67" i="9"/>
  <c r="D67" i="9"/>
  <c r="E67" i="9"/>
  <c r="F67" i="9"/>
  <c r="G67" i="9"/>
  <c r="C68" i="9"/>
  <c r="D68" i="9"/>
  <c r="E68" i="9"/>
  <c r="F68" i="9"/>
  <c r="G68" i="9"/>
  <c r="C69" i="9"/>
  <c r="D69" i="9"/>
  <c r="E69" i="9"/>
  <c r="F69" i="9"/>
  <c r="G69" i="9"/>
  <c r="C70" i="9"/>
  <c r="D70" i="9"/>
  <c r="J12" i="1"/>
  <c r="E70" i="9"/>
  <c r="F70" i="9"/>
  <c r="G70" i="9"/>
  <c r="C71" i="9"/>
  <c r="D71" i="9"/>
  <c r="E71" i="9"/>
  <c r="F71" i="9"/>
  <c r="G71" i="9"/>
  <c r="C72" i="9"/>
  <c r="D72" i="9"/>
  <c r="E72" i="9"/>
  <c r="F72" i="9"/>
  <c r="G72" i="9"/>
  <c r="C73" i="9"/>
  <c r="D73" i="9"/>
  <c r="E73" i="9"/>
  <c r="F73" i="9"/>
  <c r="G73" i="9"/>
  <c r="C74" i="9"/>
  <c r="D74" i="9"/>
  <c r="E74" i="9"/>
  <c r="F74" i="9"/>
  <c r="G74" i="9"/>
  <c r="C75" i="9"/>
  <c r="D75" i="9"/>
  <c r="E75" i="9"/>
  <c r="F75" i="9"/>
  <c r="G75" i="9"/>
  <c r="C76" i="9"/>
  <c r="D76" i="9"/>
  <c r="E76" i="9"/>
  <c r="F76" i="9"/>
  <c r="G76" i="9"/>
  <c r="C77" i="9"/>
  <c r="D77" i="9"/>
  <c r="E77" i="9"/>
  <c r="F77" i="9"/>
  <c r="G77" i="9"/>
  <c r="C78" i="9"/>
  <c r="D78" i="9"/>
  <c r="E78" i="9"/>
  <c r="F78" i="9"/>
  <c r="G78" i="9"/>
  <c r="C79" i="9"/>
  <c r="D79" i="9"/>
  <c r="E79" i="9"/>
  <c r="F79" i="9"/>
  <c r="G79" i="9"/>
  <c r="C80" i="9"/>
  <c r="D80" i="9"/>
  <c r="E80" i="9"/>
  <c r="F80" i="9"/>
  <c r="G80" i="9"/>
  <c r="C81" i="9"/>
  <c r="D81" i="9"/>
  <c r="E81" i="9"/>
  <c r="F81" i="9"/>
  <c r="G81" i="9"/>
  <c r="C82" i="9"/>
  <c r="D82" i="9"/>
  <c r="E82" i="9"/>
  <c r="F82" i="9"/>
  <c r="G82" i="9"/>
  <c r="C83" i="9"/>
  <c r="D83" i="9"/>
  <c r="E83" i="9"/>
  <c r="F83" i="9"/>
  <c r="G83" i="9"/>
  <c r="C84" i="9"/>
  <c r="D84" i="9"/>
  <c r="E84" i="9"/>
  <c r="F84" i="9"/>
  <c r="G84" i="9"/>
  <c r="C85" i="9"/>
  <c r="D85" i="9"/>
  <c r="E85" i="9"/>
  <c r="F85" i="9"/>
  <c r="G85" i="9"/>
  <c r="C86" i="9"/>
  <c r="D86" i="9"/>
  <c r="E86" i="9"/>
  <c r="F86" i="9"/>
  <c r="G86" i="9"/>
  <c r="C87" i="9"/>
  <c r="D87" i="9"/>
  <c r="E87" i="9"/>
  <c r="F87" i="9"/>
  <c r="G87" i="9"/>
  <c r="C88" i="9"/>
  <c r="D88" i="9"/>
  <c r="E88" i="9"/>
  <c r="F88" i="9"/>
  <c r="G88" i="9"/>
  <c r="C89" i="9"/>
  <c r="D89" i="9"/>
  <c r="E89" i="9"/>
  <c r="F89" i="9"/>
  <c r="G89" i="9"/>
  <c r="C90" i="9"/>
  <c r="D90" i="9"/>
  <c r="E90" i="9"/>
  <c r="F90" i="9"/>
  <c r="G90" i="9"/>
  <c r="C91" i="9"/>
  <c r="D91" i="9"/>
  <c r="E91" i="9"/>
  <c r="F91" i="9"/>
  <c r="G91" i="9"/>
  <c r="C92" i="9"/>
  <c r="D92" i="9"/>
  <c r="E92" i="9"/>
  <c r="F92" i="9"/>
  <c r="G92" i="9"/>
  <c r="C93" i="9"/>
  <c r="D93" i="9"/>
  <c r="E93" i="9"/>
  <c r="F93" i="9"/>
  <c r="G93" i="9"/>
  <c r="C94" i="9"/>
  <c r="D94" i="9"/>
  <c r="E94" i="9"/>
  <c r="F94" i="9"/>
  <c r="G94" i="9"/>
  <c r="C95" i="9"/>
  <c r="D95" i="9"/>
  <c r="E95" i="9"/>
  <c r="F95" i="9"/>
  <c r="G95" i="9"/>
  <c r="C96" i="9"/>
  <c r="D96" i="9"/>
  <c r="E96" i="9"/>
  <c r="F96" i="9"/>
  <c r="G96" i="9"/>
  <c r="C97" i="9"/>
  <c r="D97" i="9"/>
  <c r="E97" i="9"/>
  <c r="F97" i="9"/>
  <c r="G97" i="9"/>
  <c r="C98" i="9"/>
  <c r="D98" i="9"/>
  <c r="E98" i="9"/>
  <c r="F98" i="9"/>
  <c r="G98" i="9"/>
  <c r="C99" i="9"/>
  <c r="D99" i="9"/>
  <c r="E99" i="9"/>
  <c r="F99" i="9"/>
  <c r="G99" i="9"/>
  <c r="C100" i="9"/>
  <c r="D100" i="9"/>
  <c r="E100" i="9"/>
  <c r="F100" i="9"/>
  <c r="G100" i="9"/>
  <c r="J43" i="1"/>
  <c r="C101" i="9"/>
  <c r="D101" i="9"/>
  <c r="E101" i="9"/>
  <c r="F101" i="9"/>
  <c r="G101" i="9"/>
  <c r="J44" i="1"/>
  <c r="C102" i="9"/>
  <c r="D102" i="9"/>
  <c r="E102" i="9"/>
  <c r="F102" i="9"/>
  <c r="G102" i="9"/>
  <c r="C103" i="9"/>
  <c r="D103" i="9"/>
  <c r="E103" i="9"/>
  <c r="F103" i="9"/>
  <c r="G103" i="9"/>
  <c r="C104" i="9"/>
  <c r="D104" i="9"/>
  <c r="E104" i="9"/>
  <c r="F104" i="9"/>
  <c r="G104" i="9"/>
  <c r="C105" i="9"/>
  <c r="D105" i="9"/>
  <c r="E105" i="9"/>
  <c r="F105" i="9"/>
  <c r="G105" i="9"/>
  <c r="C106" i="9"/>
  <c r="D106" i="9"/>
  <c r="E106" i="9"/>
  <c r="F106" i="9"/>
  <c r="G106" i="9"/>
  <c r="C107" i="9"/>
  <c r="D107" i="9"/>
  <c r="E107" i="9"/>
  <c r="F107" i="9"/>
  <c r="G107" i="9"/>
  <c r="C108" i="9"/>
  <c r="D108" i="9"/>
  <c r="E108" i="9"/>
  <c r="F108" i="9"/>
  <c r="G108" i="9"/>
  <c r="C109" i="9"/>
  <c r="D109" i="9"/>
  <c r="E109" i="9"/>
  <c r="F109" i="9"/>
  <c r="G109" i="9"/>
  <c r="C110" i="9"/>
  <c r="D110" i="9"/>
  <c r="E110" i="9"/>
  <c r="F110" i="9"/>
  <c r="G110" i="9"/>
  <c r="C111" i="9"/>
  <c r="D111" i="9"/>
  <c r="E111" i="9"/>
  <c r="F111" i="9"/>
  <c r="G111" i="9"/>
  <c r="B111" i="9"/>
  <c r="B89" i="9"/>
  <c r="B90" i="9"/>
  <c r="B91" i="9"/>
  <c r="B92" i="9"/>
  <c r="B93" i="9"/>
  <c r="B94" i="9"/>
  <c r="B95" i="9"/>
  <c r="B96" i="9"/>
  <c r="B97" i="9"/>
  <c r="B98" i="9"/>
  <c r="B99" i="9"/>
  <c r="B100" i="9"/>
  <c r="B101" i="9"/>
  <c r="B102" i="9"/>
  <c r="B103" i="9"/>
  <c r="B104" i="9"/>
  <c r="B105" i="9"/>
  <c r="B106" i="9"/>
  <c r="B107" i="9"/>
  <c r="B108" i="9"/>
  <c r="B109" i="9"/>
  <c r="B110" i="9"/>
  <c r="B62" i="9"/>
  <c r="B63" i="9"/>
  <c r="B64" i="9"/>
  <c r="B65" i="9"/>
  <c r="B66" i="9"/>
  <c r="B67" i="9"/>
  <c r="B68" i="9"/>
  <c r="B69" i="9"/>
  <c r="B70" i="9"/>
  <c r="B71" i="9"/>
  <c r="B72" i="9"/>
  <c r="B73" i="9"/>
  <c r="B74" i="9"/>
  <c r="B75" i="9"/>
  <c r="B76" i="9"/>
  <c r="B77" i="9"/>
  <c r="B78" i="9"/>
  <c r="B79" i="9"/>
  <c r="B80" i="9"/>
  <c r="B81" i="9"/>
  <c r="B82" i="9"/>
  <c r="B83" i="9"/>
  <c r="B84" i="9"/>
  <c r="B85" i="9"/>
  <c r="B86" i="9"/>
  <c r="B87" i="9"/>
  <c r="B88" i="9"/>
  <c r="B61" i="9"/>
  <c r="B52" i="9"/>
  <c r="C52" i="9"/>
  <c r="D52" i="9"/>
  <c r="E52" i="9"/>
  <c r="F52" i="9"/>
  <c r="G52" i="9"/>
  <c r="B40" i="9"/>
  <c r="C40" i="9"/>
  <c r="D40" i="9"/>
  <c r="E40" i="9"/>
  <c r="F40" i="9"/>
  <c r="G40" i="9"/>
  <c r="B41" i="9"/>
  <c r="C41" i="9"/>
  <c r="D41" i="9"/>
  <c r="E41" i="9"/>
  <c r="F41" i="9"/>
  <c r="G41" i="9"/>
  <c r="B42" i="9"/>
  <c r="C42" i="9"/>
  <c r="D42" i="9"/>
  <c r="E42" i="9"/>
  <c r="F42" i="9"/>
  <c r="G42" i="9"/>
  <c r="B43" i="9"/>
  <c r="C43" i="9"/>
  <c r="D43" i="9"/>
  <c r="E43" i="9"/>
  <c r="F43" i="9"/>
  <c r="G43" i="9"/>
  <c r="B44" i="9"/>
  <c r="C44" i="9"/>
  <c r="D44" i="9"/>
  <c r="E44" i="9"/>
  <c r="Y45" i="1"/>
  <c r="F44" i="9"/>
  <c r="G44" i="9"/>
  <c r="B45" i="9"/>
  <c r="C45" i="9"/>
  <c r="D45" i="9"/>
  <c r="E45" i="9"/>
  <c r="F45" i="9"/>
  <c r="G45" i="9"/>
  <c r="B46" i="9"/>
  <c r="C46" i="9"/>
  <c r="D46" i="9"/>
  <c r="E46" i="9"/>
  <c r="F46" i="9"/>
  <c r="Y47" i="1"/>
  <c r="G46" i="9"/>
  <c r="B47" i="9"/>
  <c r="Y48" i="1"/>
  <c r="C47" i="9"/>
  <c r="D47" i="9"/>
  <c r="E47" i="9"/>
  <c r="F47" i="9"/>
  <c r="G47" i="9"/>
  <c r="B48" i="9"/>
  <c r="C48" i="9"/>
  <c r="D48" i="9"/>
  <c r="E48" i="9"/>
  <c r="F48" i="9"/>
  <c r="G48" i="9"/>
  <c r="B49" i="9"/>
  <c r="C49" i="9"/>
  <c r="D49" i="9"/>
  <c r="E49" i="9"/>
  <c r="F49" i="9"/>
  <c r="G49" i="9"/>
  <c r="B50" i="9"/>
  <c r="C50" i="9"/>
  <c r="D50" i="9"/>
  <c r="E50" i="9"/>
  <c r="F50" i="9"/>
  <c r="G50" i="9"/>
  <c r="B51" i="9"/>
  <c r="C51" i="9"/>
  <c r="D51" i="9"/>
  <c r="E51" i="9"/>
  <c r="F51" i="9"/>
  <c r="G51" i="9"/>
  <c r="C3" i="9"/>
  <c r="W4" i="1"/>
  <c r="X4" i="1"/>
  <c r="Y4" i="1"/>
  <c r="D3" i="9"/>
  <c r="E3" i="9"/>
  <c r="F3" i="9"/>
  <c r="G3" i="9"/>
  <c r="C4" i="9"/>
  <c r="W5" i="1"/>
  <c r="X5" i="1"/>
  <c r="Y5" i="1"/>
  <c r="D4" i="9"/>
  <c r="E4" i="9"/>
  <c r="F4" i="9"/>
  <c r="G4" i="9"/>
  <c r="C5" i="9"/>
  <c r="D5" i="9"/>
  <c r="W6" i="1"/>
  <c r="X6" i="1"/>
  <c r="Y6" i="1"/>
  <c r="E5" i="9"/>
  <c r="F5" i="9"/>
  <c r="G5" i="9"/>
  <c r="C6" i="9"/>
  <c r="D6" i="9"/>
  <c r="E6" i="9"/>
  <c r="F6" i="9"/>
  <c r="G6" i="9"/>
  <c r="C7" i="9"/>
  <c r="D7" i="9"/>
  <c r="E7" i="9"/>
  <c r="F7" i="9"/>
  <c r="G7" i="9"/>
  <c r="W9" i="1"/>
  <c r="X9" i="1"/>
  <c r="Y9" i="1"/>
  <c r="C8" i="9"/>
  <c r="D8" i="9"/>
  <c r="E8" i="9"/>
  <c r="F8" i="9"/>
  <c r="G8" i="9"/>
  <c r="W10" i="1"/>
  <c r="X10" i="1"/>
  <c r="Y10" i="1"/>
  <c r="C9" i="9"/>
  <c r="D9" i="9"/>
  <c r="E9" i="9"/>
  <c r="F9" i="9"/>
  <c r="G9" i="9"/>
  <c r="W11" i="1"/>
  <c r="Y11" i="1"/>
  <c r="C10" i="9"/>
  <c r="D10" i="9"/>
  <c r="E10" i="9"/>
  <c r="F10" i="9"/>
  <c r="G10" i="9"/>
  <c r="C11" i="9"/>
  <c r="D11" i="9"/>
  <c r="E11" i="9"/>
  <c r="F11" i="9"/>
  <c r="G11" i="9"/>
  <c r="W13" i="1"/>
  <c r="X13" i="1"/>
  <c r="Y13" i="1"/>
  <c r="C12" i="9"/>
  <c r="D12" i="9"/>
  <c r="E12" i="9"/>
  <c r="F12" i="9"/>
  <c r="G12" i="9"/>
  <c r="C13" i="9"/>
  <c r="D13" i="9"/>
  <c r="E13" i="9"/>
  <c r="F13" i="9"/>
  <c r="G13" i="9"/>
  <c r="C14" i="9"/>
  <c r="D14" i="9"/>
  <c r="E14" i="9"/>
  <c r="F14" i="9"/>
  <c r="G14" i="9"/>
  <c r="C15" i="9"/>
  <c r="D15" i="9"/>
  <c r="Y16" i="1"/>
  <c r="E15" i="9"/>
  <c r="F15" i="9"/>
  <c r="G15" i="9"/>
  <c r="C16" i="9"/>
  <c r="X17" i="1"/>
  <c r="Y17" i="1"/>
  <c r="D16" i="9"/>
  <c r="E16" i="9"/>
  <c r="F16" i="9"/>
  <c r="G16" i="9"/>
  <c r="C17" i="9"/>
  <c r="D17" i="9"/>
  <c r="Y18" i="1"/>
  <c r="E17" i="9"/>
  <c r="F17" i="9"/>
  <c r="G17" i="9"/>
  <c r="C18" i="9"/>
  <c r="D18" i="9"/>
  <c r="Y19" i="1"/>
  <c r="E18" i="9"/>
  <c r="F18" i="9"/>
  <c r="G18" i="9"/>
  <c r="C19" i="9"/>
  <c r="D19" i="9"/>
  <c r="Y20" i="1"/>
  <c r="E19" i="9"/>
  <c r="F19" i="9"/>
  <c r="G19" i="9"/>
  <c r="C20" i="9"/>
  <c r="Y21" i="1"/>
  <c r="D20" i="9"/>
  <c r="E20" i="9"/>
  <c r="F20" i="9"/>
  <c r="G20" i="9"/>
  <c r="C21" i="9"/>
  <c r="D21" i="9"/>
  <c r="X22" i="1"/>
  <c r="Y22" i="1"/>
  <c r="E21" i="9"/>
  <c r="F21" i="9"/>
  <c r="G21" i="9"/>
  <c r="C22" i="9"/>
  <c r="D22" i="9"/>
  <c r="Y23" i="1"/>
  <c r="E22" i="9"/>
  <c r="F22" i="9"/>
  <c r="G22" i="9"/>
  <c r="Y24" i="1"/>
  <c r="C23" i="9"/>
  <c r="D23" i="9"/>
  <c r="E23" i="9"/>
  <c r="F23" i="9"/>
  <c r="G23" i="9"/>
  <c r="C24" i="9"/>
  <c r="D24" i="9"/>
  <c r="E24" i="9"/>
  <c r="F24" i="9"/>
  <c r="G24" i="9"/>
  <c r="C25" i="9"/>
  <c r="D25" i="9"/>
  <c r="E25" i="9"/>
  <c r="W26" i="1"/>
  <c r="Y26" i="1"/>
  <c r="F25" i="9"/>
  <c r="G25" i="9"/>
  <c r="Y27" i="1"/>
  <c r="C26" i="9"/>
  <c r="D26" i="9"/>
  <c r="E26" i="9"/>
  <c r="F26" i="9"/>
  <c r="G26" i="9"/>
  <c r="C27" i="9"/>
  <c r="D27" i="9"/>
  <c r="E27" i="9"/>
  <c r="F27" i="9"/>
  <c r="Y28" i="1"/>
  <c r="G27" i="9"/>
  <c r="C28" i="9"/>
  <c r="D28" i="9"/>
  <c r="E28" i="9"/>
  <c r="F28" i="9"/>
  <c r="G28" i="9"/>
  <c r="Y30" i="1"/>
  <c r="C29" i="9"/>
  <c r="D29" i="9"/>
  <c r="E29" i="9"/>
  <c r="F29" i="9"/>
  <c r="G29" i="9"/>
  <c r="C30" i="9"/>
  <c r="D30" i="9"/>
  <c r="E30" i="9"/>
  <c r="F30" i="9"/>
  <c r="G30" i="9"/>
  <c r="Y32" i="1"/>
  <c r="C31" i="9"/>
  <c r="D31" i="9"/>
  <c r="E31" i="9"/>
  <c r="F31" i="9"/>
  <c r="G31" i="9"/>
  <c r="C32" i="9"/>
  <c r="D32" i="9"/>
  <c r="E32" i="9"/>
  <c r="F32" i="9"/>
  <c r="Y33" i="1"/>
  <c r="G32" i="9"/>
  <c r="C33" i="9"/>
  <c r="D33" i="9"/>
  <c r="E33" i="9"/>
  <c r="F33" i="9"/>
  <c r="G33" i="9"/>
  <c r="C34" i="9"/>
  <c r="D34" i="9"/>
  <c r="E34" i="9"/>
  <c r="F34" i="9"/>
  <c r="G34" i="9"/>
  <c r="C35" i="9"/>
  <c r="D35" i="9"/>
  <c r="E35" i="9"/>
  <c r="F35" i="9"/>
  <c r="G35" i="9"/>
  <c r="C36" i="9"/>
  <c r="D36" i="9"/>
  <c r="E36" i="9"/>
  <c r="W37" i="1"/>
  <c r="Y37" i="1"/>
  <c r="F36" i="9"/>
  <c r="G36" i="9"/>
  <c r="C37" i="9"/>
  <c r="D37" i="9"/>
  <c r="E37" i="9"/>
  <c r="F37" i="9"/>
  <c r="G37" i="9"/>
  <c r="C38" i="9"/>
  <c r="D38" i="9"/>
  <c r="E38" i="9"/>
  <c r="F38" i="9"/>
  <c r="G38" i="9"/>
  <c r="C39" i="9"/>
  <c r="D39" i="9"/>
  <c r="E39" i="9"/>
  <c r="F39" i="9"/>
  <c r="G39" i="9"/>
  <c r="B3" i="9"/>
  <c r="B4" i="9"/>
  <c r="B5" i="9"/>
  <c r="B6" i="9"/>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2" i="9"/>
  <c r="AI53" i="1"/>
  <c r="AH53" i="1"/>
  <c r="S181" i="9"/>
  <c r="S167" i="9"/>
  <c r="S123" i="9"/>
  <c r="S222" i="9"/>
  <c r="S221" i="9"/>
  <c r="S219" i="9"/>
  <c r="S225" i="9"/>
  <c r="S227" i="9"/>
  <c r="S226" i="9"/>
  <c r="V124" i="9"/>
  <c r="W124" i="9"/>
  <c r="X124" i="9"/>
  <c r="Y124" i="9"/>
  <c r="Z124" i="9"/>
  <c r="AA124" i="9"/>
  <c r="V125" i="9"/>
  <c r="W125" i="9"/>
  <c r="X125" i="9"/>
  <c r="Y125" i="9"/>
  <c r="Z125" i="9"/>
  <c r="AA125" i="9"/>
  <c r="V126" i="9"/>
  <c r="W126" i="9"/>
  <c r="X126" i="9"/>
  <c r="Y126" i="9"/>
  <c r="Z126" i="9"/>
  <c r="AA126" i="9"/>
  <c r="V127" i="9"/>
  <c r="W127" i="9"/>
  <c r="X127" i="9"/>
  <c r="Y127" i="9"/>
  <c r="Z127" i="9"/>
  <c r="AA127" i="9"/>
  <c r="V128" i="9"/>
  <c r="W128" i="9"/>
  <c r="X128" i="9"/>
  <c r="Y128" i="9"/>
  <c r="Z128" i="9"/>
  <c r="AA128" i="9"/>
  <c r="V129" i="9"/>
  <c r="W129" i="9"/>
  <c r="X129" i="9"/>
  <c r="Y129" i="9"/>
  <c r="Z129" i="9"/>
  <c r="AA129" i="9"/>
  <c r="V130" i="9"/>
  <c r="W130" i="9"/>
  <c r="X130" i="9"/>
  <c r="Y130" i="9"/>
  <c r="Z130" i="9"/>
  <c r="AA130" i="9"/>
  <c r="V131" i="9"/>
  <c r="W131" i="9"/>
  <c r="X131" i="9"/>
  <c r="Y131" i="9"/>
  <c r="Z131" i="9"/>
  <c r="AA131" i="9"/>
  <c r="V132" i="9"/>
  <c r="W132" i="9"/>
  <c r="X132" i="9"/>
  <c r="Y132" i="9"/>
  <c r="Z132" i="9"/>
  <c r="AA132" i="9"/>
  <c r="V133" i="9"/>
  <c r="W133" i="9"/>
  <c r="X133" i="9"/>
  <c r="Y133" i="9"/>
  <c r="Z133" i="9"/>
  <c r="AA133" i="9"/>
  <c r="V134" i="9"/>
  <c r="W134" i="9"/>
  <c r="X134" i="9"/>
  <c r="Y134" i="9"/>
  <c r="Z134" i="9"/>
  <c r="AA134" i="9"/>
  <c r="V135" i="9"/>
  <c r="W135" i="9"/>
  <c r="X135" i="9"/>
  <c r="Y135" i="9"/>
  <c r="Z135" i="9"/>
  <c r="AA135" i="9"/>
  <c r="V136" i="9"/>
  <c r="W136" i="9"/>
  <c r="X136" i="9"/>
  <c r="Y136" i="9"/>
  <c r="Z136" i="9"/>
  <c r="AA136" i="9"/>
  <c r="V137" i="9"/>
  <c r="W137" i="9"/>
  <c r="X137" i="9"/>
  <c r="Y137" i="9"/>
  <c r="Z137" i="9"/>
  <c r="AA137" i="9"/>
  <c r="V138" i="9"/>
  <c r="W138" i="9"/>
  <c r="X138" i="9"/>
  <c r="Y138" i="9"/>
  <c r="Z138" i="9"/>
  <c r="AA138" i="9"/>
  <c r="V139" i="9"/>
  <c r="W139" i="9"/>
  <c r="X139" i="9"/>
  <c r="Y139" i="9"/>
  <c r="Z139" i="9"/>
  <c r="AA139" i="9"/>
  <c r="V140" i="9"/>
  <c r="W140" i="9"/>
  <c r="X140" i="9"/>
  <c r="Y140" i="9"/>
  <c r="Z140" i="9"/>
  <c r="AA140" i="9"/>
  <c r="V141" i="9"/>
  <c r="W141" i="9"/>
  <c r="X141" i="9"/>
  <c r="Y141" i="9"/>
  <c r="Z141" i="9"/>
  <c r="AA141" i="9"/>
  <c r="V142" i="9"/>
  <c r="W142" i="9"/>
  <c r="X142" i="9"/>
  <c r="Y142" i="9"/>
  <c r="Z142" i="9"/>
  <c r="AA142" i="9"/>
  <c r="V143" i="9"/>
  <c r="W143" i="9"/>
  <c r="X143" i="9"/>
  <c r="Y143" i="9"/>
  <c r="Z143" i="9"/>
  <c r="AA143" i="9"/>
  <c r="V144" i="9"/>
  <c r="W144" i="9"/>
  <c r="X144" i="9"/>
  <c r="Y144" i="9"/>
  <c r="Z144" i="9"/>
  <c r="AA144" i="9"/>
  <c r="V145" i="9"/>
  <c r="W145" i="9"/>
  <c r="X145" i="9"/>
  <c r="Y145" i="9"/>
  <c r="Z145" i="9"/>
  <c r="AA145" i="9"/>
  <c r="V146" i="9"/>
  <c r="W146" i="9"/>
  <c r="X146" i="9"/>
  <c r="Y146" i="9"/>
  <c r="Z146" i="9"/>
  <c r="AA146" i="9"/>
  <c r="V147" i="9"/>
  <c r="W147" i="9"/>
  <c r="X147" i="9"/>
  <c r="Y147" i="9"/>
  <c r="Z147" i="9"/>
  <c r="AA147" i="9"/>
  <c r="V148" i="9"/>
  <c r="W148" i="9"/>
  <c r="X148" i="9"/>
  <c r="Y148" i="9"/>
  <c r="Z148" i="9"/>
  <c r="AA148" i="9"/>
  <c r="V149" i="9"/>
  <c r="W149" i="9"/>
  <c r="X149" i="9"/>
  <c r="Y149" i="9"/>
  <c r="Z149" i="9"/>
  <c r="AA149" i="9"/>
  <c r="V150" i="9"/>
  <c r="W150" i="9"/>
  <c r="X150" i="9"/>
  <c r="Y150" i="9"/>
  <c r="Z150" i="9"/>
  <c r="AA150" i="9"/>
  <c r="V151" i="9"/>
  <c r="W151" i="9"/>
  <c r="X151" i="9"/>
  <c r="Y151" i="9"/>
  <c r="Z151" i="9"/>
  <c r="AA151" i="9"/>
  <c r="V152" i="9"/>
  <c r="W152" i="9"/>
  <c r="X152" i="9"/>
  <c r="Y152" i="9"/>
  <c r="Z152" i="9"/>
  <c r="AA152" i="9"/>
  <c r="V153" i="9"/>
  <c r="W153" i="9"/>
  <c r="X153" i="9"/>
  <c r="Y153" i="9"/>
  <c r="Z153" i="9"/>
  <c r="AA153" i="9"/>
  <c r="V154" i="9"/>
  <c r="W154" i="9"/>
  <c r="X154" i="9"/>
  <c r="Y154" i="9"/>
  <c r="Z154" i="9"/>
  <c r="AA154" i="9"/>
  <c r="V155" i="9"/>
  <c r="W155" i="9"/>
  <c r="X155" i="9"/>
  <c r="Y155" i="9"/>
  <c r="Z155" i="9"/>
  <c r="AA155" i="9"/>
  <c r="V156" i="9"/>
  <c r="W156" i="9"/>
  <c r="X156" i="9"/>
  <c r="Y156" i="9"/>
  <c r="Z156" i="9"/>
  <c r="AA156" i="9"/>
  <c r="V157" i="9"/>
  <c r="W157" i="9"/>
  <c r="X157" i="9"/>
  <c r="Y157" i="9"/>
  <c r="Z157" i="9"/>
  <c r="AA157" i="9"/>
  <c r="V158" i="9"/>
  <c r="W158" i="9"/>
  <c r="X158" i="9"/>
  <c r="Y158" i="9"/>
  <c r="Z158" i="9"/>
  <c r="AA158" i="9"/>
  <c r="V159" i="9"/>
  <c r="W159" i="9"/>
  <c r="X159" i="9"/>
  <c r="Y159" i="9"/>
  <c r="Z159" i="9"/>
  <c r="AA159" i="9"/>
  <c r="V160" i="9"/>
  <c r="W160" i="9"/>
  <c r="X160" i="9"/>
  <c r="Y160" i="9"/>
  <c r="Z160" i="9"/>
  <c r="AA160" i="9"/>
  <c r="V161" i="9"/>
  <c r="W161" i="9"/>
  <c r="X161" i="9"/>
  <c r="Y161" i="9"/>
  <c r="Z161" i="9"/>
  <c r="AA161" i="9"/>
  <c r="V162" i="9"/>
  <c r="W162" i="9"/>
  <c r="X162" i="9"/>
  <c r="Y162" i="9"/>
  <c r="Z162" i="9"/>
  <c r="AA162" i="9"/>
  <c r="V163" i="9"/>
  <c r="W163" i="9"/>
  <c r="X163" i="9"/>
  <c r="Y163" i="9"/>
  <c r="Z163" i="9"/>
  <c r="AA163" i="9"/>
  <c r="V164" i="9"/>
  <c r="W164" i="9"/>
  <c r="X164" i="9"/>
  <c r="Y164" i="9"/>
  <c r="Z164" i="9"/>
  <c r="AA164" i="9"/>
  <c r="V165" i="9"/>
  <c r="W165" i="9"/>
  <c r="X165" i="9"/>
  <c r="Y165" i="9"/>
  <c r="Z165" i="9"/>
  <c r="AA165" i="9"/>
  <c r="V166" i="9"/>
  <c r="W166" i="9"/>
  <c r="X166" i="9"/>
  <c r="Y166" i="9"/>
  <c r="Z166" i="9"/>
  <c r="AA166" i="9"/>
  <c r="V167" i="9"/>
  <c r="W167" i="9"/>
  <c r="X167" i="9"/>
  <c r="Y167" i="9"/>
  <c r="Z167" i="9"/>
  <c r="AA167" i="9"/>
  <c r="V168" i="9"/>
  <c r="W168" i="9"/>
  <c r="X168" i="9"/>
  <c r="Y168" i="9"/>
  <c r="Z168" i="9"/>
  <c r="AA168" i="9"/>
  <c r="V169" i="9"/>
  <c r="W169" i="9"/>
  <c r="X169" i="9"/>
  <c r="Y169" i="9"/>
  <c r="Z169" i="9"/>
  <c r="AA169" i="9"/>
  <c r="V170" i="9"/>
  <c r="W170" i="9"/>
  <c r="X170" i="9"/>
  <c r="Y170" i="9"/>
  <c r="Z170" i="9"/>
  <c r="AA170" i="9"/>
  <c r="V171" i="9"/>
  <c r="W171" i="9"/>
  <c r="X171" i="9"/>
  <c r="Y171" i="9"/>
  <c r="Z171" i="9"/>
  <c r="AA171" i="9"/>
  <c r="S107" i="9"/>
  <c r="S105" i="9"/>
  <c r="S103" i="9"/>
  <c r="S46" i="9"/>
  <c r="AI49" i="1"/>
  <c r="AI47" i="1"/>
  <c r="AI46" i="1"/>
  <c r="AI40" i="1"/>
  <c r="AI39" i="1"/>
  <c r="AI36" i="1"/>
  <c r="AI31" i="1"/>
  <c r="AI29" i="1"/>
  <c r="AH40" i="1"/>
  <c r="AH46" i="1"/>
  <c r="AH47" i="1"/>
  <c r="V62" i="9"/>
  <c r="W62" i="9"/>
  <c r="X62" i="9"/>
  <c r="Y62" i="9"/>
  <c r="Z62" i="9"/>
  <c r="AA62" i="9"/>
  <c r="V63" i="9"/>
  <c r="W63" i="9"/>
  <c r="X63" i="9"/>
  <c r="Y63" i="9"/>
  <c r="Z63" i="9"/>
  <c r="AA63" i="9"/>
  <c r="V64" i="9"/>
  <c r="W64" i="9"/>
  <c r="X64" i="9"/>
  <c r="Y64" i="9"/>
  <c r="Z64" i="9"/>
  <c r="AA64" i="9"/>
  <c r="V65" i="9"/>
  <c r="W65" i="9"/>
  <c r="X65" i="9"/>
  <c r="Y65" i="9"/>
  <c r="Z65" i="9"/>
  <c r="AA65" i="9"/>
  <c r="V66" i="9"/>
  <c r="W66" i="9"/>
  <c r="X66" i="9"/>
  <c r="Y66" i="9"/>
  <c r="Z66" i="9"/>
  <c r="AA66" i="9"/>
  <c r="V67" i="9"/>
  <c r="W67" i="9"/>
  <c r="X67" i="9"/>
  <c r="Y67" i="9"/>
  <c r="Z67" i="9"/>
  <c r="AA67" i="9"/>
  <c r="V68" i="9"/>
  <c r="W68" i="9"/>
  <c r="X68" i="9"/>
  <c r="Y68" i="9"/>
  <c r="Z68" i="9"/>
  <c r="AA68" i="9"/>
  <c r="V69" i="9"/>
  <c r="W69" i="9"/>
  <c r="X69" i="9"/>
  <c r="Y69" i="9"/>
  <c r="Z69" i="9"/>
  <c r="AA69" i="9"/>
  <c r="V70" i="9"/>
  <c r="W70" i="9"/>
  <c r="X70" i="9"/>
  <c r="Y70" i="9"/>
  <c r="Z70" i="9"/>
  <c r="AA70" i="9"/>
  <c r="V71" i="9"/>
  <c r="W71" i="9"/>
  <c r="X71" i="9"/>
  <c r="Y71" i="9"/>
  <c r="Z71" i="9"/>
  <c r="AA71" i="9"/>
  <c r="V72" i="9"/>
  <c r="W72" i="9"/>
  <c r="X72" i="9"/>
  <c r="Y72" i="9"/>
  <c r="Z72" i="9"/>
  <c r="AA72" i="9"/>
  <c r="V73" i="9"/>
  <c r="W73" i="9"/>
  <c r="X73" i="9"/>
  <c r="Y73" i="9"/>
  <c r="Z73" i="9"/>
  <c r="AA73" i="9"/>
  <c r="V74" i="9"/>
  <c r="W74" i="9"/>
  <c r="X74" i="9"/>
  <c r="Y74" i="9"/>
  <c r="Z74" i="9"/>
  <c r="AA74" i="9"/>
  <c r="V75" i="9"/>
  <c r="W75" i="9"/>
  <c r="X75" i="9"/>
  <c r="Y75" i="9"/>
  <c r="Z75" i="9"/>
  <c r="AA75" i="9"/>
  <c r="V76" i="9"/>
  <c r="W76" i="9"/>
  <c r="X76" i="9"/>
  <c r="Y76" i="9"/>
  <c r="Z76" i="9"/>
  <c r="AA76" i="9"/>
  <c r="V77" i="9"/>
  <c r="W77" i="9"/>
  <c r="X77" i="9"/>
  <c r="Y77" i="9"/>
  <c r="Z77" i="9"/>
  <c r="AA77" i="9"/>
  <c r="V78" i="9"/>
  <c r="W78" i="9"/>
  <c r="X78" i="9"/>
  <c r="Y78" i="9"/>
  <c r="Z78" i="9"/>
  <c r="AA78" i="9"/>
  <c r="V79" i="9"/>
  <c r="W79" i="9"/>
  <c r="X79" i="9"/>
  <c r="Y79" i="9"/>
  <c r="Z79" i="9"/>
  <c r="AA79" i="9"/>
  <c r="V80" i="9"/>
  <c r="W80" i="9"/>
  <c r="X80" i="9"/>
  <c r="Y80" i="9"/>
  <c r="Z80" i="9"/>
  <c r="AA80" i="9"/>
  <c r="V81" i="9"/>
  <c r="W81" i="9"/>
  <c r="X81" i="9"/>
  <c r="Y81" i="9"/>
  <c r="Z81" i="9"/>
  <c r="AA81" i="9"/>
  <c r="V82" i="9"/>
  <c r="W82" i="9"/>
  <c r="X82" i="9"/>
  <c r="Y82" i="9"/>
  <c r="Z82" i="9"/>
  <c r="AA82" i="9"/>
  <c r="V83" i="9"/>
  <c r="W83" i="9"/>
  <c r="X83" i="9"/>
  <c r="Y83" i="9"/>
  <c r="Z83" i="9"/>
  <c r="AA83" i="9"/>
  <c r="V84" i="9"/>
  <c r="W84" i="9"/>
  <c r="X84" i="9"/>
  <c r="Y84" i="9"/>
  <c r="Z84" i="9"/>
  <c r="AA84" i="9"/>
  <c r="V85" i="9"/>
  <c r="W85" i="9"/>
  <c r="X85" i="9"/>
  <c r="Y85" i="9"/>
  <c r="Z85" i="9"/>
  <c r="AA85" i="9"/>
  <c r="V86" i="9"/>
  <c r="W86" i="9"/>
  <c r="X86" i="9"/>
  <c r="Y86" i="9"/>
  <c r="Z86" i="9"/>
  <c r="AA86" i="9"/>
  <c r="V87" i="9"/>
  <c r="W87" i="9"/>
  <c r="X87" i="9"/>
  <c r="Y87" i="9"/>
  <c r="Z87" i="9"/>
  <c r="AA87" i="9"/>
  <c r="V88" i="9"/>
  <c r="W88" i="9"/>
  <c r="X88" i="9"/>
  <c r="Y88" i="9"/>
  <c r="Z88" i="9"/>
  <c r="AA88" i="9"/>
  <c r="V89" i="9"/>
  <c r="W89" i="9"/>
  <c r="X89" i="9"/>
  <c r="Y89" i="9"/>
  <c r="Z89" i="9"/>
  <c r="AA89" i="9"/>
  <c r="V90" i="9"/>
  <c r="W90" i="9"/>
  <c r="X90" i="9"/>
  <c r="Y90" i="9"/>
  <c r="Z90" i="9"/>
  <c r="AA90" i="9"/>
  <c r="V91" i="9"/>
  <c r="W91" i="9"/>
  <c r="X91" i="9"/>
  <c r="Y91" i="9"/>
  <c r="Z91" i="9"/>
  <c r="AA91" i="9"/>
  <c r="V92" i="9"/>
  <c r="W92" i="9"/>
  <c r="X92" i="9"/>
  <c r="Y92" i="9"/>
  <c r="Z92" i="9"/>
  <c r="AA92" i="9"/>
  <c r="V93" i="9"/>
  <c r="W93" i="9"/>
  <c r="X93" i="9"/>
  <c r="Y93" i="9"/>
  <c r="Z93" i="9"/>
  <c r="AA93" i="9"/>
  <c r="V94" i="9"/>
  <c r="W94" i="9"/>
  <c r="X94" i="9"/>
  <c r="Y94" i="9"/>
  <c r="Z94" i="9"/>
  <c r="AA94" i="9"/>
  <c r="V95" i="9"/>
  <c r="W95" i="9"/>
  <c r="X95" i="9"/>
  <c r="Y95" i="9"/>
  <c r="Z95" i="9"/>
  <c r="AA95" i="9"/>
  <c r="V96" i="9"/>
  <c r="W96" i="9"/>
  <c r="X96" i="9"/>
  <c r="Y96" i="9"/>
  <c r="Z96" i="9"/>
  <c r="AA96" i="9"/>
  <c r="V97" i="9"/>
  <c r="W97" i="9"/>
  <c r="X97" i="9"/>
  <c r="Y97" i="9"/>
  <c r="Z97" i="9"/>
  <c r="AA97" i="9"/>
  <c r="V98" i="9"/>
  <c r="W98" i="9"/>
  <c r="X98" i="9"/>
  <c r="Y98" i="9"/>
  <c r="Z98" i="9"/>
  <c r="AA98" i="9"/>
  <c r="V99" i="9"/>
  <c r="W99" i="9"/>
  <c r="X99" i="9"/>
  <c r="Y99" i="9"/>
  <c r="Z99" i="9"/>
  <c r="AA99" i="9"/>
  <c r="V100" i="9"/>
  <c r="W100" i="9"/>
  <c r="X100" i="9"/>
  <c r="Y100" i="9"/>
  <c r="Z100" i="9"/>
  <c r="AA100" i="9"/>
  <c r="V101" i="9"/>
  <c r="W101" i="9"/>
  <c r="X101" i="9"/>
  <c r="Y101" i="9"/>
  <c r="Z101" i="9"/>
  <c r="AA101" i="9"/>
  <c r="V102" i="9"/>
  <c r="W102" i="9"/>
  <c r="X102" i="9"/>
  <c r="Y102" i="9"/>
  <c r="Z102" i="9"/>
  <c r="AA102" i="9"/>
  <c r="V103" i="9"/>
  <c r="W103" i="9"/>
  <c r="X103" i="9"/>
  <c r="Y103" i="9"/>
  <c r="Z103" i="9"/>
  <c r="AA103" i="9"/>
  <c r="V104" i="9"/>
  <c r="W104" i="9"/>
  <c r="X104" i="9"/>
  <c r="Y104" i="9"/>
  <c r="Z104" i="9"/>
  <c r="AA104" i="9"/>
  <c r="V105" i="9"/>
  <c r="W105" i="9"/>
  <c r="X105" i="9"/>
  <c r="Y105" i="9"/>
  <c r="Z105" i="9"/>
  <c r="AA105" i="9"/>
  <c r="V106" i="9"/>
  <c r="W106" i="9"/>
  <c r="X106" i="9"/>
  <c r="Y106" i="9"/>
  <c r="Z106" i="9"/>
  <c r="AA106" i="9"/>
  <c r="V107" i="9"/>
  <c r="W107" i="9"/>
  <c r="X107" i="9"/>
  <c r="Y107" i="9"/>
  <c r="Z107" i="9"/>
  <c r="AA107" i="9"/>
  <c r="V108" i="9"/>
  <c r="W108" i="9"/>
  <c r="X108" i="9"/>
  <c r="Y108" i="9"/>
  <c r="Z108" i="9"/>
  <c r="AA108" i="9"/>
  <c r="V109" i="9"/>
  <c r="W109" i="9"/>
  <c r="X109" i="9"/>
  <c r="Y109" i="9"/>
  <c r="Z109" i="9"/>
  <c r="AA109" i="9"/>
  <c r="S44" i="9"/>
  <c r="V3" i="9"/>
  <c r="W3" i="9"/>
  <c r="X3" i="9"/>
  <c r="Y3" i="9"/>
  <c r="Z3" i="9"/>
  <c r="AA3" i="9"/>
  <c r="V4" i="9"/>
  <c r="W4" i="9"/>
  <c r="X4" i="9"/>
  <c r="Y4" i="9"/>
  <c r="Z4" i="9"/>
  <c r="AA4" i="9"/>
  <c r="V5" i="9"/>
  <c r="W5" i="9"/>
  <c r="X5" i="9"/>
  <c r="Y5" i="9"/>
  <c r="Z5" i="9"/>
  <c r="AA5" i="9"/>
  <c r="V6" i="9"/>
  <c r="W6" i="9"/>
  <c r="X6" i="9"/>
  <c r="Y6" i="9"/>
  <c r="Z6" i="9"/>
  <c r="AA6" i="9"/>
  <c r="V7" i="9"/>
  <c r="W7" i="9"/>
  <c r="X7" i="9"/>
  <c r="Y7" i="9"/>
  <c r="Z7" i="9"/>
  <c r="AA7" i="9"/>
  <c r="V8" i="9"/>
  <c r="W8" i="9"/>
  <c r="X8" i="9"/>
  <c r="Y8" i="9"/>
  <c r="Z8" i="9"/>
  <c r="AA8" i="9"/>
  <c r="V9" i="9"/>
  <c r="W9" i="9"/>
  <c r="X9" i="9"/>
  <c r="Y9" i="9"/>
  <c r="Z9" i="9"/>
  <c r="AA9" i="9"/>
  <c r="V10" i="9"/>
  <c r="W10" i="9"/>
  <c r="X10" i="9"/>
  <c r="Y10" i="9"/>
  <c r="Z10" i="9"/>
  <c r="AA10" i="9"/>
  <c r="V11" i="9"/>
  <c r="W11" i="9"/>
  <c r="X11" i="9"/>
  <c r="Y11" i="9"/>
  <c r="Z11" i="9"/>
  <c r="AA11" i="9"/>
  <c r="V12" i="9"/>
  <c r="W12" i="9"/>
  <c r="X12" i="9"/>
  <c r="Y12" i="9"/>
  <c r="Z12" i="9"/>
  <c r="AA12" i="9"/>
  <c r="V13" i="9"/>
  <c r="W13" i="9"/>
  <c r="X13" i="9"/>
  <c r="Y13" i="9"/>
  <c r="Z13" i="9"/>
  <c r="AA13" i="9"/>
  <c r="V14" i="9"/>
  <c r="W14" i="9"/>
  <c r="X14" i="9"/>
  <c r="Y14" i="9"/>
  <c r="Z14" i="9"/>
  <c r="AA14" i="9"/>
  <c r="V15" i="9"/>
  <c r="W15" i="9"/>
  <c r="X15" i="9"/>
  <c r="Y15" i="9"/>
  <c r="Z15" i="9"/>
  <c r="AA15" i="9"/>
  <c r="V16" i="9"/>
  <c r="W16" i="9"/>
  <c r="X16" i="9"/>
  <c r="Y16" i="9"/>
  <c r="Z16" i="9"/>
  <c r="AA16" i="9"/>
  <c r="V17" i="9"/>
  <c r="W17" i="9"/>
  <c r="X17" i="9"/>
  <c r="Y17" i="9"/>
  <c r="Z17" i="9"/>
  <c r="AA17" i="9"/>
  <c r="V18" i="9"/>
  <c r="W18" i="9"/>
  <c r="X18" i="9"/>
  <c r="Y18" i="9"/>
  <c r="Z18" i="9"/>
  <c r="AA18" i="9"/>
  <c r="V19" i="9"/>
  <c r="W19" i="9"/>
  <c r="X19" i="9"/>
  <c r="Y19" i="9"/>
  <c r="Z19" i="9"/>
  <c r="AA19" i="9"/>
  <c r="V20" i="9"/>
  <c r="W20" i="9"/>
  <c r="X20" i="9"/>
  <c r="Y20" i="9"/>
  <c r="Z20" i="9"/>
  <c r="AA20" i="9"/>
  <c r="V21" i="9"/>
  <c r="W21" i="9"/>
  <c r="X21" i="9"/>
  <c r="Y21" i="9"/>
  <c r="Z21" i="9"/>
  <c r="AA21" i="9"/>
  <c r="V22" i="9"/>
  <c r="W22" i="9"/>
  <c r="X22" i="9"/>
  <c r="Y22" i="9"/>
  <c r="Z22" i="9"/>
  <c r="AA22" i="9"/>
  <c r="V23" i="9"/>
  <c r="W23" i="9"/>
  <c r="X23" i="9"/>
  <c r="Y23" i="9"/>
  <c r="Z23" i="9"/>
  <c r="AA23" i="9"/>
  <c r="V24" i="9"/>
  <c r="W24" i="9"/>
  <c r="X24" i="9"/>
  <c r="Y24" i="9"/>
  <c r="Z24" i="9"/>
  <c r="AA24" i="9"/>
  <c r="V25" i="9"/>
  <c r="W25" i="9"/>
  <c r="X25" i="9"/>
  <c r="Y25" i="9"/>
  <c r="Z25" i="9"/>
  <c r="AA25" i="9"/>
  <c r="V26" i="9"/>
  <c r="W26" i="9"/>
  <c r="X26" i="9"/>
  <c r="Y26" i="9"/>
  <c r="Z26" i="9"/>
  <c r="AA26" i="9"/>
  <c r="V27" i="9"/>
  <c r="W27" i="9"/>
  <c r="X27" i="9"/>
  <c r="Y27" i="9"/>
  <c r="Z27" i="9"/>
  <c r="AA27" i="9"/>
  <c r="V28" i="9"/>
  <c r="W28" i="9"/>
  <c r="X28" i="9"/>
  <c r="Y28" i="9"/>
  <c r="Z28" i="9"/>
  <c r="AA28" i="9"/>
  <c r="V29" i="9"/>
  <c r="W29" i="9"/>
  <c r="X29" i="9"/>
  <c r="Y29" i="9"/>
  <c r="Z29" i="9"/>
  <c r="AA29" i="9"/>
  <c r="V30" i="9"/>
  <c r="W30" i="9"/>
  <c r="X30" i="9"/>
  <c r="Y30" i="9"/>
  <c r="Z30" i="9"/>
  <c r="AA30" i="9"/>
  <c r="V31" i="9"/>
  <c r="W31" i="9"/>
  <c r="X31" i="9"/>
  <c r="Y31" i="9"/>
  <c r="Z31" i="9"/>
  <c r="AA31" i="9"/>
  <c r="V32" i="9"/>
  <c r="W32" i="9"/>
  <c r="X32" i="9"/>
  <c r="Y32" i="9"/>
  <c r="Z32" i="9"/>
  <c r="AA32" i="9"/>
  <c r="V33" i="9"/>
  <c r="W33" i="9"/>
  <c r="X33" i="9"/>
  <c r="Y33" i="9"/>
  <c r="Z33" i="9"/>
  <c r="AA33" i="9"/>
  <c r="V34" i="9"/>
  <c r="W34" i="9"/>
  <c r="X34" i="9"/>
  <c r="Y34" i="9"/>
  <c r="Z34" i="9"/>
  <c r="AA34" i="9"/>
  <c r="V35" i="9"/>
  <c r="W35" i="9"/>
  <c r="X35" i="9"/>
  <c r="Y35" i="9"/>
  <c r="Z35" i="9"/>
  <c r="AA35" i="9"/>
  <c r="V36" i="9"/>
  <c r="W36" i="9"/>
  <c r="X36" i="9"/>
  <c r="Y36" i="9"/>
  <c r="Z36" i="9"/>
  <c r="AA36" i="9"/>
  <c r="V37" i="9"/>
  <c r="W37" i="9"/>
  <c r="X37" i="9"/>
  <c r="Y37" i="9"/>
  <c r="Z37" i="9"/>
  <c r="AA37" i="9"/>
  <c r="V38" i="9"/>
  <c r="W38" i="9"/>
  <c r="X38" i="9"/>
  <c r="Y38" i="9"/>
  <c r="Z38" i="9"/>
  <c r="AA38" i="9"/>
  <c r="V39" i="9"/>
  <c r="W39" i="9"/>
  <c r="X39" i="9"/>
  <c r="Y39" i="9"/>
  <c r="Z39" i="9"/>
  <c r="AA39" i="9"/>
  <c r="V40" i="9"/>
  <c r="W40" i="9"/>
  <c r="X40" i="9"/>
  <c r="Y40" i="9"/>
  <c r="Z40" i="9"/>
  <c r="AA40" i="9"/>
  <c r="V41" i="9"/>
  <c r="W41" i="9"/>
  <c r="X41" i="9"/>
  <c r="Y41" i="9"/>
  <c r="Z41" i="9"/>
  <c r="AA41" i="9"/>
  <c r="V42" i="9"/>
  <c r="W42" i="9"/>
  <c r="X42" i="9"/>
  <c r="Y42" i="9"/>
  <c r="Z42" i="9"/>
  <c r="AA42" i="9"/>
  <c r="V43" i="9"/>
  <c r="W43" i="9"/>
  <c r="X43" i="9"/>
  <c r="Y43" i="9"/>
  <c r="Z43" i="9"/>
  <c r="AA43" i="9"/>
  <c r="V44" i="9"/>
  <c r="W44" i="9"/>
  <c r="X44" i="9"/>
  <c r="Y44" i="9"/>
  <c r="Z44" i="9"/>
  <c r="AA44" i="9"/>
  <c r="V45" i="9"/>
  <c r="W45" i="9"/>
  <c r="X45" i="9"/>
  <c r="Y45" i="9"/>
  <c r="Z45" i="9"/>
  <c r="AA45" i="9"/>
  <c r="V46" i="9"/>
  <c r="W46" i="9"/>
  <c r="X46" i="9"/>
  <c r="Y46" i="9"/>
  <c r="Z46" i="9"/>
  <c r="AA46" i="9"/>
  <c r="V47" i="9"/>
  <c r="W47" i="9"/>
  <c r="X47" i="9"/>
  <c r="Y47" i="9"/>
  <c r="Z47" i="9"/>
  <c r="AA47" i="9"/>
  <c r="V48" i="9"/>
  <c r="W48" i="9"/>
  <c r="X48" i="9"/>
  <c r="Y48" i="9"/>
  <c r="Z48" i="9"/>
  <c r="AA48" i="9"/>
  <c r="V49" i="9"/>
  <c r="W49" i="9"/>
  <c r="X49" i="9"/>
  <c r="Y49" i="9"/>
  <c r="Z49" i="9"/>
  <c r="AA49" i="9"/>
  <c r="V50" i="9"/>
  <c r="W50" i="9"/>
  <c r="X50" i="9"/>
  <c r="Y50" i="9"/>
  <c r="Z50" i="9"/>
  <c r="AA50" i="9"/>
  <c r="AH45" i="1"/>
  <c r="U182" i="9"/>
  <c r="V182" i="9"/>
  <c r="W182" i="9"/>
  <c r="X182" i="9"/>
  <c r="Y182" i="9"/>
  <c r="Z182" i="9"/>
  <c r="AA182" i="9"/>
  <c r="U183" i="9"/>
  <c r="V183" i="9"/>
  <c r="W183" i="9"/>
  <c r="X183" i="9"/>
  <c r="Y183" i="9"/>
  <c r="Z183" i="9"/>
  <c r="AA183" i="9"/>
  <c r="U184" i="9"/>
  <c r="V184" i="9"/>
  <c r="W184" i="9"/>
  <c r="X184" i="9"/>
  <c r="Y184" i="9"/>
  <c r="Z184" i="9"/>
  <c r="AA184" i="9"/>
  <c r="U185" i="9"/>
  <c r="V185" i="9"/>
  <c r="W185" i="9"/>
  <c r="X185" i="9"/>
  <c r="Y185" i="9"/>
  <c r="Z185" i="9"/>
  <c r="AA185" i="9"/>
  <c r="U186" i="9"/>
  <c r="V186" i="9"/>
  <c r="W186" i="9"/>
  <c r="X186" i="9"/>
  <c r="Y186" i="9"/>
  <c r="Z186" i="9"/>
  <c r="AA186" i="9"/>
  <c r="U187" i="9"/>
  <c r="V187" i="9"/>
  <c r="W187" i="9"/>
  <c r="X187" i="9"/>
  <c r="Y187" i="9"/>
  <c r="Z187" i="9"/>
  <c r="AA187" i="9"/>
  <c r="U188" i="9"/>
  <c r="V188" i="9"/>
  <c r="W188" i="9"/>
  <c r="X188" i="9"/>
  <c r="Y188" i="9"/>
  <c r="Z188" i="9"/>
  <c r="AA188" i="9"/>
  <c r="U189" i="9"/>
  <c r="V189" i="9"/>
  <c r="W189" i="9"/>
  <c r="X189" i="9"/>
  <c r="Y189" i="9"/>
  <c r="Z189" i="9"/>
  <c r="AA189" i="9"/>
  <c r="U190" i="9"/>
  <c r="V190" i="9"/>
  <c r="W190" i="9"/>
  <c r="X190" i="9"/>
  <c r="Y190" i="9"/>
  <c r="Z190" i="9"/>
  <c r="AA190" i="9"/>
  <c r="U191" i="9"/>
  <c r="V191" i="9"/>
  <c r="W191" i="9"/>
  <c r="X191" i="9"/>
  <c r="Y191" i="9"/>
  <c r="Z191" i="9"/>
  <c r="AA191" i="9"/>
  <c r="U192" i="9"/>
  <c r="V192" i="9"/>
  <c r="W192" i="9"/>
  <c r="X192" i="9"/>
  <c r="Y192" i="9"/>
  <c r="Z192" i="9"/>
  <c r="AA192" i="9"/>
  <c r="U193" i="9"/>
  <c r="V193" i="9"/>
  <c r="W193" i="9"/>
  <c r="X193" i="9"/>
  <c r="Y193" i="9"/>
  <c r="Z193" i="9"/>
  <c r="AA193" i="9"/>
  <c r="U194" i="9"/>
  <c r="V194" i="9"/>
  <c r="W194" i="9"/>
  <c r="X194" i="9"/>
  <c r="Y194" i="9"/>
  <c r="Z194" i="9"/>
  <c r="AA194" i="9"/>
  <c r="U195" i="9"/>
  <c r="V195" i="9"/>
  <c r="W195" i="9"/>
  <c r="X195" i="9"/>
  <c r="Y195" i="9"/>
  <c r="Z195" i="9"/>
  <c r="AA195" i="9"/>
  <c r="U196" i="9"/>
  <c r="V196" i="9"/>
  <c r="W196" i="9"/>
  <c r="X196" i="9"/>
  <c r="Y196" i="9"/>
  <c r="Z196" i="9"/>
  <c r="AA196" i="9"/>
  <c r="U197" i="9"/>
  <c r="V197" i="9"/>
  <c r="W197" i="9"/>
  <c r="X197" i="9"/>
  <c r="Y197" i="9"/>
  <c r="Z197" i="9"/>
  <c r="AA197" i="9"/>
  <c r="U198" i="9"/>
  <c r="V198" i="9"/>
  <c r="W198" i="9"/>
  <c r="X198" i="9"/>
  <c r="Y198" i="9"/>
  <c r="Z198" i="9"/>
  <c r="AA198" i="9"/>
  <c r="U199" i="9"/>
  <c r="V199" i="9"/>
  <c r="W199" i="9"/>
  <c r="X199" i="9"/>
  <c r="Y199" i="9"/>
  <c r="Z199" i="9"/>
  <c r="AA199" i="9"/>
  <c r="U200" i="9"/>
  <c r="V200" i="9"/>
  <c r="W200" i="9"/>
  <c r="X200" i="9"/>
  <c r="Y200" i="9"/>
  <c r="Z200" i="9"/>
  <c r="AA200" i="9"/>
  <c r="U201" i="9"/>
  <c r="V201" i="9"/>
  <c r="W201" i="9"/>
  <c r="X201" i="9"/>
  <c r="Y201" i="9"/>
  <c r="Z201" i="9"/>
  <c r="AA201" i="9"/>
  <c r="U202" i="9"/>
  <c r="V202" i="9"/>
  <c r="W202" i="9"/>
  <c r="X202" i="9"/>
  <c r="Y202" i="9"/>
  <c r="Z202" i="9"/>
  <c r="AA202" i="9"/>
  <c r="U203" i="9"/>
  <c r="V203" i="9"/>
  <c r="W203" i="9"/>
  <c r="X203" i="9"/>
  <c r="Y203" i="9"/>
  <c r="Z203" i="9"/>
  <c r="AA203" i="9"/>
  <c r="U204" i="9"/>
  <c r="V204" i="9"/>
  <c r="W204" i="9"/>
  <c r="X204" i="9"/>
  <c r="Y204" i="9"/>
  <c r="Z204" i="9"/>
  <c r="AA204" i="9"/>
  <c r="U205" i="9"/>
  <c r="V205" i="9"/>
  <c r="W205" i="9"/>
  <c r="X205" i="9"/>
  <c r="Y205" i="9"/>
  <c r="Z205" i="9"/>
  <c r="AA205" i="9"/>
  <c r="U206" i="9"/>
  <c r="V206" i="9"/>
  <c r="W206" i="9"/>
  <c r="X206" i="9"/>
  <c r="Y206" i="9"/>
  <c r="Z206" i="9"/>
  <c r="AA206" i="9"/>
  <c r="U207" i="9"/>
  <c r="V207" i="9"/>
  <c r="W207" i="9"/>
  <c r="X207" i="9"/>
  <c r="Y207" i="9"/>
  <c r="Z207" i="9"/>
  <c r="AA207" i="9"/>
  <c r="U208" i="9"/>
  <c r="V208" i="9"/>
  <c r="W208" i="9"/>
  <c r="X208" i="9"/>
  <c r="Y208" i="9"/>
  <c r="Z208" i="9"/>
  <c r="AA208" i="9"/>
  <c r="U209" i="9"/>
  <c r="V209" i="9"/>
  <c r="W209" i="9"/>
  <c r="X209" i="9"/>
  <c r="Y209" i="9"/>
  <c r="Z209" i="9"/>
  <c r="AA209" i="9"/>
  <c r="U210" i="9"/>
  <c r="V210" i="9"/>
  <c r="W210" i="9"/>
  <c r="X210" i="9"/>
  <c r="Y210" i="9"/>
  <c r="Z210" i="9"/>
  <c r="AA210" i="9"/>
  <c r="U211" i="9"/>
  <c r="V211" i="9"/>
  <c r="W211" i="9"/>
  <c r="X211" i="9"/>
  <c r="Y211" i="9"/>
  <c r="Z211" i="9"/>
  <c r="AA211" i="9"/>
  <c r="U212" i="9"/>
  <c r="V212" i="9"/>
  <c r="W212" i="9"/>
  <c r="X212" i="9"/>
  <c r="Y212" i="9"/>
  <c r="Z212" i="9"/>
  <c r="AA212" i="9"/>
  <c r="U213" i="9"/>
  <c r="V213" i="9"/>
  <c r="W213" i="9"/>
  <c r="X213" i="9"/>
  <c r="Y213" i="9"/>
  <c r="Z213" i="9"/>
  <c r="AA213" i="9"/>
  <c r="U214" i="9"/>
  <c r="V214" i="9"/>
  <c r="W214" i="9"/>
  <c r="X214" i="9"/>
  <c r="Y214" i="9"/>
  <c r="Z214" i="9"/>
  <c r="AA214" i="9"/>
  <c r="U215" i="9"/>
  <c r="V215" i="9"/>
  <c r="W215" i="9"/>
  <c r="X215" i="9"/>
  <c r="Y215" i="9"/>
  <c r="Z215" i="9"/>
  <c r="AA215" i="9"/>
  <c r="U216" i="9"/>
  <c r="V216" i="9"/>
  <c r="W216" i="9"/>
  <c r="X216" i="9"/>
  <c r="Y216" i="9"/>
  <c r="Z216" i="9"/>
  <c r="AA216" i="9"/>
  <c r="U217" i="9"/>
  <c r="V217" i="9"/>
  <c r="W217" i="9"/>
  <c r="X217" i="9"/>
  <c r="Y217" i="9"/>
  <c r="Z217" i="9"/>
  <c r="AA217" i="9"/>
  <c r="U218" i="9"/>
  <c r="V218" i="9"/>
  <c r="W218" i="9"/>
  <c r="X218" i="9"/>
  <c r="Y218" i="9"/>
  <c r="Z218" i="9"/>
  <c r="AA218" i="9"/>
  <c r="U219" i="9"/>
  <c r="V219" i="9"/>
  <c r="W219" i="9"/>
  <c r="X219" i="9"/>
  <c r="Y219" i="9"/>
  <c r="Z219" i="9"/>
  <c r="AA219" i="9"/>
  <c r="U220" i="9"/>
  <c r="V220" i="9"/>
  <c r="W220" i="9"/>
  <c r="X220" i="9"/>
  <c r="Y220" i="9"/>
  <c r="Z220" i="9"/>
  <c r="AA220" i="9"/>
  <c r="U221" i="9"/>
  <c r="V221" i="9"/>
  <c r="W221" i="9"/>
  <c r="X221" i="9"/>
  <c r="Y221" i="9"/>
  <c r="Z221" i="9"/>
  <c r="AA221" i="9"/>
  <c r="U222" i="9"/>
  <c r="V222" i="9"/>
  <c r="W222" i="9"/>
  <c r="X222" i="9"/>
  <c r="Y222" i="9"/>
  <c r="Z222" i="9"/>
  <c r="AA222" i="9"/>
  <c r="U223" i="9"/>
  <c r="V223" i="9"/>
  <c r="W223" i="9"/>
  <c r="X223" i="9"/>
  <c r="Y223" i="9"/>
  <c r="Z223" i="9"/>
  <c r="AA223" i="9"/>
  <c r="U224" i="9"/>
  <c r="V224" i="9"/>
  <c r="W224" i="9"/>
  <c r="X224" i="9"/>
  <c r="Y224" i="9"/>
  <c r="Z224" i="9"/>
  <c r="AA224" i="9"/>
  <c r="U225" i="9"/>
  <c r="V225" i="9"/>
  <c r="W225" i="9"/>
  <c r="X225" i="9"/>
  <c r="Y225" i="9"/>
  <c r="Z225" i="9"/>
  <c r="AA225" i="9"/>
  <c r="U226" i="9"/>
  <c r="V226" i="9"/>
  <c r="W226" i="9"/>
  <c r="X226" i="9"/>
  <c r="Y226" i="9"/>
  <c r="Z226" i="9"/>
  <c r="AA226" i="9"/>
  <c r="U227" i="9"/>
  <c r="V227" i="9"/>
  <c r="W227" i="9"/>
  <c r="X227" i="9"/>
  <c r="Y227" i="9"/>
  <c r="Z227" i="9"/>
  <c r="AA227" i="9"/>
  <c r="U228" i="9"/>
  <c r="V228" i="9"/>
  <c r="W228" i="9"/>
  <c r="X228" i="9"/>
  <c r="Y228" i="9"/>
  <c r="Z228" i="9"/>
  <c r="AA228" i="9"/>
  <c r="U229" i="9"/>
  <c r="V229" i="9"/>
  <c r="W229" i="9"/>
  <c r="X229" i="9"/>
  <c r="Y229" i="9"/>
  <c r="Z229" i="9"/>
  <c r="AA229" i="9"/>
  <c r="S41" i="9"/>
  <c r="S48" i="9"/>
  <c r="S47" i="9"/>
  <c r="L3" i="9"/>
  <c r="L4" i="9"/>
  <c r="L5" i="9"/>
  <c r="L6" i="9"/>
  <c r="L7" i="9"/>
  <c r="L8" i="9"/>
  <c r="L9" i="9"/>
  <c r="L10" i="9"/>
  <c r="L11" i="9"/>
  <c r="L12" i="9"/>
  <c r="L13" i="9"/>
  <c r="L14" i="9"/>
  <c r="L15" i="9"/>
  <c r="L16" i="9"/>
  <c r="L17" i="9"/>
  <c r="L18" i="9"/>
  <c r="L19" i="9"/>
  <c r="L20" i="9"/>
  <c r="L21" i="9"/>
  <c r="L22" i="9"/>
  <c r="L23" i="9"/>
  <c r="L24" i="9"/>
  <c r="L25" i="9"/>
  <c r="L26" i="9"/>
  <c r="L27" i="9"/>
  <c r="L28" i="9"/>
  <c r="L29" i="9"/>
  <c r="L30" i="9"/>
  <c r="L31" i="9"/>
  <c r="L32" i="9"/>
  <c r="L33" i="9"/>
  <c r="L34" i="9"/>
  <c r="L35" i="9"/>
  <c r="L36" i="9"/>
  <c r="L37" i="9"/>
  <c r="L38" i="9"/>
  <c r="L39" i="9"/>
  <c r="L40" i="9"/>
  <c r="L41" i="9"/>
  <c r="L42" i="9"/>
  <c r="L43" i="9"/>
  <c r="L44" i="9"/>
  <c r="L45" i="9"/>
  <c r="L46" i="9"/>
  <c r="L47" i="9"/>
  <c r="L48" i="9"/>
  <c r="L49" i="9"/>
  <c r="L50" i="9"/>
  <c r="S229" i="9"/>
  <c r="S228" i="9"/>
  <c r="S224" i="9"/>
  <c r="S218" i="9"/>
  <c r="S217" i="9"/>
  <c r="S215" i="9"/>
  <c r="S213" i="9"/>
  <c r="S212" i="9"/>
  <c r="S209" i="9"/>
  <c r="S207" i="9"/>
  <c r="S206" i="9"/>
  <c r="S204" i="9"/>
  <c r="S203" i="9"/>
  <c r="S191" i="9"/>
  <c r="S189" i="9"/>
  <c r="S188" i="9"/>
  <c r="S187" i="9"/>
  <c r="S186" i="9"/>
  <c r="S185" i="9"/>
  <c r="S184" i="9"/>
  <c r="S183" i="9"/>
  <c r="AA181" i="9"/>
  <c r="Z181" i="9"/>
  <c r="Y181" i="9"/>
  <c r="X181" i="9"/>
  <c r="V3" i="1"/>
  <c r="W181" i="9"/>
  <c r="S131" i="9"/>
  <c r="S133" i="9"/>
  <c r="S145" i="9"/>
  <c r="S146" i="9"/>
  <c r="S148" i="9"/>
  <c r="S149" i="9"/>
  <c r="S151" i="9"/>
  <c r="S154" i="9"/>
  <c r="S155" i="9"/>
  <c r="S156" i="9"/>
  <c r="S157" i="9"/>
  <c r="S159" i="9"/>
  <c r="S160" i="9"/>
  <c r="S161" i="9"/>
  <c r="S163" i="9"/>
  <c r="S164" i="9"/>
  <c r="S166" i="9"/>
  <c r="S168" i="9"/>
  <c r="S169" i="9"/>
  <c r="S170" i="9"/>
  <c r="S171" i="9"/>
  <c r="S125" i="9"/>
  <c r="S126" i="9"/>
  <c r="S127" i="9"/>
  <c r="S128" i="9"/>
  <c r="S129" i="9"/>
  <c r="S130" i="9"/>
  <c r="S108" i="9"/>
  <c r="S109" i="9"/>
  <c r="Z14" i="1"/>
  <c r="S43" i="9"/>
  <c r="S49" i="9"/>
  <c r="S50" i="9"/>
  <c r="S5" i="9"/>
  <c r="S6" i="9"/>
  <c r="S7" i="9"/>
  <c r="S8" i="9"/>
  <c r="S9" i="9"/>
  <c r="S10" i="9"/>
  <c r="S12" i="9"/>
  <c r="S15" i="9"/>
  <c r="S16" i="9"/>
  <c r="S17" i="9"/>
  <c r="S18" i="9"/>
  <c r="S19" i="9"/>
  <c r="S20" i="9"/>
  <c r="S21" i="9"/>
  <c r="S22" i="9"/>
  <c r="S23" i="9"/>
  <c r="S24" i="9"/>
  <c r="S25" i="9"/>
  <c r="S26" i="9"/>
  <c r="S27" i="9"/>
  <c r="S28" i="9"/>
  <c r="S29" i="9"/>
  <c r="S30" i="9"/>
  <c r="S31" i="9"/>
  <c r="S32" i="9"/>
  <c r="S33" i="9"/>
  <c r="S34" i="9"/>
  <c r="S35" i="9"/>
  <c r="S36" i="9"/>
  <c r="S38" i="9"/>
  <c r="S39" i="9"/>
  <c r="S42" i="9"/>
  <c r="AH17" i="1"/>
  <c r="Z17" i="1"/>
  <c r="AH4" i="1"/>
  <c r="Z4" i="1"/>
  <c r="U4" i="1"/>
  <c r="S4" i="1"/>
  <c r="Q4" i="1"/>
  <c r="P4" i="1"/>
  <c r="AE44" i="1"/>
  <c r="AE43" i="1"/>
  <c r="AH51" i="1"/>
  <c r="AH50" i="1"/>
  <c r="U181" i="9"/>
  <c r="V181" i="9"/>
  <c r="AA123" i="9"/>
  <c r="Z123" i="9"/>
  <c r="Y123" i="9"/>
  <c r="X123" i="9"/>
  <c r="W123" i="9"/>
  <c r="V123" i="9"/>
  <c r="S65" i="9"/>
  <c r="S66" i="9"/>
  <c r="S67" i="9"/>
  <c r="S68" i="9"/>
  <c r="S70" i="9"/>
  <c r="S71" i="9"/>
  <c r="S72" i="9"/>
  <c r="S73" i="9"/>
  <c r="S74" i="9"/>
  <c r="S75" i="9"/>
  <c r="S76" i="9"/>
  <c r="S77" i="9"/>
  <c r="S78" i="9"/>
  <c r="S79" i="9"/>
  <c r="S82" i="9"/>
  <c r="S83" i="9"/>
  <c r="S84" i="9"/>
  <c r="S86" i="9"/>
  <c r="S87" i="9"/>
  <c r="S89" i="9"/>
  <c r="S90" i="9"/>
  <c r="S91" i="9"/>
  <c r="S92" i="9"/>
  <c r="S93" i="9"/>
  <c r="S94" i="9"/>
  <c r="S95" i="9"/>
  <c r="S97" i="9"/>
  <c r="S98" i="9"/>
  <c r="S100" i="9"/>
  <c r="S101" i="9"/>
  <c r="S102" i="9"/>
  <c r="S62" i="9"/>
  <c r="S63" i="9"/>
  <c r="S64" i="9"/>
  <c r="S61" i="9"/>
  <c r="AA61" i="9"/>
  <c r="Z61" i="9"/>
  <c r="Y61" i="9"/>
  <c r="X61" i="9"/>
  <c r="W61" i="9"/>
  <c r="V61" i="9"/>
  <c r="S3" i="9"/>
  <c r="S4" i="9"/>
  <c r="S2" i="9"/>
  <c r="AA2" i="9"/>
  <c r="Z2" i="9"/>
  <c r="Y2" i="9"/>
  <c r="X2" i="9"/>
  <c r="W3" i="1"/>
  <c r="Y3" i="1"/>
  <c r="W2" i="9"/>
  <c r="V2" i="9"/>
  <c r="L2" i="9"/>
  <c r="Y38" i="1"/>
  <c r="S30" i="1"/>
  <c r="W30" i="1"/>
  <c r="Z30" i="1"/>
  <c r="AA30" i="1"/>
  <c r="AC30" i="1"/>
  <c r="AH30" i="1"/>
  <c r="Z32" i="1"/>
  <c r="AC32" i="1"/>
  <c r="AH32" i="1"/>
  <c r="Z33" i="1"/>
  <c r="AA33" i="1"/>
  <c r="AC33" i="1"/>
  <c r="AD33" i="1"/>
  <c r="AF33" i="1"/>
  <c r="AH33" i="1"/>
  <c r="AQ33" i="1"/>
  <c r="W34" i="1"/>
  <c r="X34" i="1"/>
  <c r="Z34" i="1"/>
  <c r="AA34" i="1"/>
  <c r="AC34" i="1"/>
  <c r="AD34" i="1"/>
  <c r="AF34" i="1"/>
  <c r="AH34" i="1"/>
  <c r="AQ34" i="1"/>
  <c r="W35" i="1"/>
  <c r="AA35" i="1"/>
  <c r="AC35" i="1"/>
  <c r="AD35" i="1"/>
  <c r="AF35" i="1"/>
  <c r="AH35" i="1"/>
  <c r="AQ35" i="1"/>
  <c r="Z37" i="1"/>
  <c r="AC37" i="1"/>
  <c r="Z13" i="1"/>
  <c r="Q5" i="1"/>
  <c r="M6" i="1"/>
  <c r="P6" i="1"/>
  <c r="P5" i="1"/>
  <c r="U26" i="1"/>
  <c r="AN26" i="1"/>
  <c r="AC24" i="1"/>
  <c r="Z24" i="1"/>
  <c r="U24" i="1"/>
  <c r="M23" i="1"/>
  <c r="AE11" i="1"/>
  <c r="P11" i="1"/>
  <c r="AF9" i="1"/>
  <c r="AN5" i="1"/>
  <c r="U5" i="1"/>
  <c r="U14" i="1"/>
  <c r="AD14" i="1"/>
  <c r="AH14" i="1"/>
  <c r="Z27" i="1"/>
  <c r="AF27" i="1"/>
  <c r="J181" i="9"/>
  <c r="I181" i="9"/>
  <c r="H181" i="9"/>
  <c r="G181" i="9"/>
  <c r="F181" i="9"/>
  <c r="Z11" i="1"/>
  <c r="U11" i="1"/>
  <c r="AF6" i="1"/>
  <c r="S5" i="1"/>
  <c r="AH5" i="1"/>
  <c r="G123" i="9"/>
  <c r="F123" i="9"/>
  <c r="E123" i="9"/>
  <c r="D123" i="9"/>
  <c r="G61" i="9"/>
  <c r="F61" i="9"/>
  <c r="E61" i="9"/>
  <c r="D61" i="9"/>
  <c r="C61" i="9"/>
  <c r="G2" i="9"/>
  <c r="F2" i="9"/>
  <c r="E2" i="9"/>
  <c r="D2" i="9"/>
  <c r="AH21" i="1"/>
  <c r="AH20" i="1"/>
  <c r="AH19" i="1"/>
  <c r="AH18" i="1"/>
  <c r="AH16" i="1"/>
  <c r="Z20" i="1"/>
  <c r="Z19" i="1"/>
  <c r="Z16" i="1"/>
  <c r="Z18" i="1"/>
  <c r="Z21" i="1"/>
  <c r="Z6" i="1"/>
  <c r="AH15" i="1"/>
  <c r="AF28" i="1"/>
  <c r="AD28" i="1"/>
  <c r="AA28" i="1"/>
  <c r="AC28" i="1"/>
  <c r="X12" i="1"/>
  <c r="AN12" i="1"/>
  <c r="AH28" i="1"/>
  <c r="Z3" i="1"/>
  <c r="C2" i="9"/>
  <c r="Z9" i="1"/>
  <c r="Z26" i="1"/>
  <c r="AQ28" i="1"/>
  <c r="Z10" i="1"/>
  <c r="Z5" i="1"/>
  <c r="AD12" i="1"/>
  <c r="AF12" i="1"/>
  <c r="AD11" i="1"/>
  <c r="AD3" i="1"/>
  <c r="S6" i="1"/>
  <c r="AH12" i="1"/>
  <c r="AF3" i="1"/>
  <c r="AH3" i="1"/>
  <c r="C123" i="9"/>
  <c r="AQ3" i="1"/>
  <c r="AD6" i="1"/>
  <c r="AH6" i="1"/>
  <c r="AQ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massimo</author>
  </authors>
  <commentList>
    <comment ref="B30" authorId="0" shapeId="0" xr:uid="{00000000-0006-0000-0100-000001000000}">
      <text>
        <r>
          <rPr>
            <b/>
            <sz val="8"/>
            <color indexed="81"/>
            <rFont val="Tahoma"/>
            <family val="2"/>
          </rPr>
          <t>massimo:</t>
        </r>
        <r>
          <rPr>
            <sz val="8"/>
            <color indexed="81"/>
            <rFont val="Tahoma"/>
            <family val="2"/>
          </rPr>
          <t xml:space="preserve">
shall we put references on the definition of figures of metric (like the 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ESGA</author>
    <author>Author1</author>
  </authors>
  <commentList>
    <comment ref="E2" authorId="0" shapeId="0" xr:uid="{00000000-0006-0000-0200-000001000000}">
      <text>
        <r>
          <rPr>
            <b/>
            <sz val="9"/>
            <color indexed="81"/>
            <rFont val="Tahoma"/>
            <family val="2"/>
          </rPr>
          <t>See column AW on the right for definition of publication acronyms</t>
        </r>
      </text>
    </comment>
    <comment ref="R2" authorId="1" shapeId="0" xr:uid="{00000000-0006-0000-0200-000002000000}">
      <text>
        <r>
          <rPr>
            <sz val="9"/>
            <color indexed="81"/>
            <rFont val="Tahoma"/>
            <charset val="1"/>
          </rPr>
          <t>see DEFINITION tab for corresponding enhancement</t>
        </r>
      </text>
    </comment>
    <comment ref="Z31" authorId="0" shapeId="0" xr:uid="{00000000-0006-0000-0200-000003000000}">
      <text>
        <r>
          <rPr>
            <b/>
            <sz val="9"/>
            <color indexed="81"/>
            <rFont val="Tahoma"/>
            <charset val="1"/>
          </rPr>
          <t>ESGA:</t>
        </r>
        <r>
          <rPr>
            <sz val="9"/>
            <color indexed="81"/>
            <rFont val="Tahoma"/>
            <charset val="1"/>
          </rPr>
          <t xml:space="preserve">
x2 for CTAT</t>
        </r>
      </text>
    </comment>
    <comment ref="Z32" authorId="0" shapeId="0" xr:uid="{00000000-0006-0000-0200-000004000000}">
      <text>
        <r>
          <rPr>
            <b/>
            <sz val="9"/>
            <color indexed="81"/>
            <rFont val="Tahoma"/>
            <charset val="1"/>
          </rPr>
          <t>ESGA:
5x for 5-1 bit encoding
majority voter, BCH and NVM not included</t>
        </r>
      </text>
    </comment>
  </commentList>
</comments>
</file>

<file path=xl/sharedStrings.xml><?xml version="1.0" encoding="utf-8"?>
<sst xmlns="http://schemas.openxmlformats.org/spreadsheetml/2006/main" count="1289" uniqueCount="343">
  <si>
    <t>ISSCC</t>
  </si>
  <si>
    <t>ICID</t>
  </si>
  <si>
    <t>VLSI</t>
  </si>
  <si>
    <t>Arbiter</t>
  </si>
  <si>
    <t>SRAM</t>
  </si>
  <si>
    <t>Latch</t>
  </si>
  <si>
    <t>BCH</t>
  </si>
  <si>
    <t>HOST</t>
  </si>
  <si>
    <t>D. Lim, J. W. Lee, B. Gassend, G. E. Suh, M. Van Dijk, and S. Devadas, “Extracting Secret Keys from Integrated Circuits,” IEEE Trans. Very Large Scale Integr. Syst., vol. 13, no. 10, pp. 1200–1205, 2005.</t>
  </si>
  <si>
    <t>TVLSI</t>
  </si>
  <si>
    <t>RO</t>
  </si>
  <si>
    <t>D. Puntin, S. Stanzione, and G. Iannaccone, “CMOS Unclonable System for Secure Authentication Based on Device Variability,” in European Solid State Circuit Conference (ESSCIRC), 2008, pp. 130–133.</t>
  </si>
  <si>
    <t>ESSCIRC</t>
  </si>
  <si>
    <t>nanokey</t>
  </si>
  <si>
    <t>OxID</t>
  </si>
  <si>
    <t>SA-PUF</t>
  </si>
  <si>
    <t>DATE</t>
  </si>
  <si>
    <t>S. Chellappa, A. Dey, and L. T. Clark, “Improved circuits for microchip identification using SRAM mismatch,” Proc. Cust. Integr. Circuits Conf., pp. 3–6, 2011.</t>
  </si>
  <si>
    <t>CICC</t>
  </si>
  <si>
    <t>S. Rosenblatt, D. Fainstein, A. Cestero, J. Safran, S. Member, N. Robson, T. Kirihata, and S. S. Iyer, “Field Tolerant Dynamic Intrinsic Chip ID Using 32 nm High-K / Metal Gate SOI Embedded DRAM,” IEEE J. Solid State Circuits, vol. 48, no. 4, pp. 940–947, 2013.</t>
  </si>
  <si>
    <t>JSSC</t>
  </si>
  <si>
    <t>M. Bhargava and K. Mai, “An efficient reliable PUF-based cryptographic key generator in 65nm CMOS,” in Design, Automation &amp; Test in Europe Conference &amp; Exhibition (DATE), 2014, vol. 1, pp. 1–6.</t>
  </si>
  <si>
    <t>S. Satpathy, S. Mathew, J. Li, P. Koeberl, M. Anders, H. Kaul, G. Chen, A. Agarwal, S. Hsu, and R. Krishnamurthy, “13fJ/bit Probing-resilient 250K PUF Array with Soft Dark- bit Masking for 1.94 % Bit-error in 22nm Tri-gate CMOS,” in European Solid State Circuit Conference (ESSCIRC), 2014, pp. 239–242.</t>
  </si>
  <si>
    <t>INV_PUF</t>
  </si>
  <si>
    <t>PTAT</t>
  </si>
  <si>
    <t>M. Wan, Z. He, S. Han, K. Dai, and X. Zou, “An Invasive-Attack-Resistant PUF Based On Switched-Capacitor Circuit,” IEEE Trans. Circuits Syst. I, vol. 62, no. 8, pp. 2024–2034, 2015.</t>
  </si>
  <si>
    <t>TCAS 1</t>
  </si>
  <si>
    <t>SCPUF</t>
  </si>
  <si>
    <t>DFF</t>
  </si>
  <si>
    <t>P. Simons, E. Van Der Sluis, and V. Van Der Leest, “Buskeeper PUFs, a promising alternative to D Flip-Flop PUFs,” in IEEE International Symposium on Hardware-Oriented Security and Trust (HOST), 2012, pp. 7–12.</t>
  </si>
  <si>
    <t>Buskeeper</t>
  </si>
  <si>
    <t>ASIC Implemented PUFs</t>
  </si>
  <si>
    <t>NIST Test</t>
  </si>
  <si>
    <t>&lt;5e-9</t>
  </si>
  <si>
    <t>PASS</t>
  </si>
  <si>
    <t>0.7-0.9</t>
  </si>
  <si>
    <t># of possible CRPs</t>
  </si>
  <si>
    <t>R. Maes, V. Rozic, I. Verbauwhede, P. Koeberl, E. van der Sluis, and V. can der Leest, “Experimental Evaluation of Physically Unclonable Functions in 65 nm CMOS,” in European Solid State Circuit Conference (ESSCIRC), 2012, pp. 486–489.</t>
  </si>
  <si>
    <t>PUF Name</t>
  </si>
  <si>
    <r>
      <rPr>
        <b/>
        <sz val="11"/>
        <color rgb="FFFF0000"/>
        <rFont val="Calibri"/>
        <family val="2"/>
        <scheme val="minor"/>
      </rPr>
      <t>2</t>
    </r>
    <r>
      <rPr>
        <b/>
        <sz val="11"/>
        <color theme="3"/>
        <rFont val="Calibri"/>
        <family val="2"/>
        <scheme val="minor"/>
      </rPr>
      <t xml:space="preserve"> </t>
    </r>
    <r>
      <rPr>
        <b/>
        <sz val="11"/>
        <rFont val="Calibri"/>
        <family val="2"/>
        <scheme val="minor"/>
      </rPr>
      <t>Maximum Instability under PVT Variation (%)</t>
    </r>
  </si>
  <si>
    <r>
      <rPr>
        <b/>
        <sz val="11"/>
        <color rgb="FFFF0000"/>
        <rFont val="Calibri"/>
        <family val="2"/>
        <scheme val="minor"/>
      </rPr>
      <t>2</t>
    </r>
    <r>
      <rPr>
        <b/>
        <sz val="11"/>
        <rFont val="Calibri"/>
        <family val="2"/>
        <scheme val="minor"/>
      </rPr>
      <t xml:space="preserve"> Voltage Range (V)</t>
    </r>
  </si>
  <si>
    <r>
      <rPr>
        <b/>
        <sz val="11"/>
        <color rgb="FFFF0000"/>
        <rFont val="Calibri"/>
        <family val="2"/>
        <scheme val="minor"/>
      </rPr>
      <t>2</t>
    </r>
    <r>
      <rPr>
        <b/>
        <sz val="11"/>
        <rFont val="Calibri"/>
        <family val="2"/>
        <scheme val="minor"/>
      </rPr>
      <t xml:space="preserve"> Temperature Range (C) </t>
    </r>
  </si>
  <si>
    <r>
      <rPr>
        <b/>
        <sz val="11"/>
        <color rgb="FFFF0000"/>
        <rFont val="Calibri"/>
        <family val="2"/>
        <scheme val="minor"/>
      </rPr>
      <t xml:space="preserve">4 </t>
    </r>
    <r>
      <rPr>
        <b/>
        <sz val="11"/>
        <rFont val="Calibri"/>
        <family val="2"/>
        <scheme val="minor"/>
      </rPr>
      <t>Type of enhancement</t>
    </r>
  </si>
  <si>
    <t>Energy per bit (pJ/bit)</t>
  </si>
  <si>
    <r>
      <rPr>
        <b/>
        <sz val="11"/>
        <color rgb="FFFF0000"/>
        <rFont val="Calibri"/>
        <family val="2"/>
        <scheme val="minor"/>
      </rPr>
      <t>7</t>
    </r>
    <r>
      <rPr>
        <b/>
        <sz val="11"/>
        <color theme="3"/>
        <rFont val="Calibri"/>
        <family val="2"/>
        <scheme val="minor"/>
      </rPr>
      <t xml:space="preserve"> </t>
    </r>
    <r>
      <rPr>
        <b/>
        <sz val="11"/>
        <rFont val="Calibri"/>
        <family val="2"/>
        <scheme val="minor"/>
      </rPr>
      <t>Bias</t>
    </r>
  </si>
  <si>
    <r>
      <rPr>
        <b/>
        <sz val="11"/>
        <color rgb="FFFF0000"/>
        <rFont val="Calibri"/>
        <family val="2"/>
        <scheme val="minor"/>
      </rPr>
      <t>8</t>
    </r>
    <r>
      <rPr>
        <b/>
        <sz val="11"/>
        <color theme="3"/>
        <rFont val="Calibri"/>
        <family val="2"/>
        <scheme val="minor"/>
      </rPr>
      <t xml:space="preserve"> </t>
    </r>
    <r>
      <rPr>
        <b/>
        <sz val="11"/>
        <rFont val="Calibri"/>
        <family val="2"/>
        <scheme val="minor"/>
      </rPr>
      <t>Inter-PUF FHD</t>
    </r>
  </si>
  <si>
    <r>
      <rPr>
        <b/>
        <sz val="11"/>
        <color rgb="FFFF0000"/>
        <rFont val="Calibri"/>
        <family val="2"/>
        <scheme val="minor"/>
      </rPr>
      <t>8</t>
    </r>
    <r>
      <rPr>
        <b/>
        <sz val="11"/>
        <color theme="3"/>
        <rFont val="Calibri"/>
        <family val="2"/>
        <scheme val="minor"/>
      </rPr>
      <t xml:space="preserve"> </t>
    </r>
    <r>
      <rPr>
        <b/>
        <sz val="11"/>
        <rFont val="Calibri"/>
        <family val="2"/>
        <scheme val="minor"/>
      </rPr>
      <t>Intra-PUF FHD</t>
    </r>
  </si>
  <si>
    <r>
      <rPr>
        <b/>
        <sz val="11"/>
        <color rgb="FFFF0000"/>
        <rFont val="Calibri"/>
        <family val="2"/>
        <scheme val="minor"/>
      </rPr>
      <t xml:space="preserve">9 </t>
    </r>
    <r>
      <rPr>
        <b/>
        <sz val="11"/>
        <rFont val="Calibri"/>
        <family val="2"/>
        <scheme val="minor"/>
      </rPr>
      <t>Identifiability</t>
    </r>
  </si>
  <si>
    <r>
      <rPr>
        <b/>
        <sz val="11"/>
        <color rgb="FFFF0000"/>
        <rFont val="Calibri"/>
        <family val="2"/>
        <scheme val="minor"/>
      </rPr>
      <t xml:space="preserve">9 </t>
    </r>
    <r>
      <rPr>
        <b/>
        <sz val="11"/>
        <rFont val="Calibri"/>
        <family val="2"/>
        <scheme val="minor"/>
      </rPr>
      <t>3-sigma Identifiability</t>
    </r>
  </si>
  <si>
    <t>Entropy</t>
  </si>
  <si>
    <r>
      <rPr>
        <b/>
        <sz val="11"/>
        <color rgb="FFFF0000"/>
        <rFont val="Calibri"/>
        <family val="2"/>
        <scheme val="minor"/>
      </rPr>
      <t xml:space="preserve">10 </t>
    </r>
    <r>
      <rPr>
        <b/>
        <sz val="11"/>
        <rFont val="Calibri"/>
        <family val="2"/>
        <scheme val="minor"/>
      </rPr>
      <t>Autocorrelation Function</t>
    </r>
  </si>
  <si>
    <t>Bits</t>
  </si>
  <si>
    <t>NI</t>
  </si>
  <si>
    <t>1.1-5</t>
  </si>
  <si>
    <t>1.8+/-2%</t>
  </si>
  <si>
    <t>27-70</t>
  </si>
  <si>
    <t>0.9-1.2</t>
  </si>
  <si>
    <t>1.1+10%</t>
  </si>
  <si>
    <t>0-85</t>
  </si>
  <si>
    <t>25-85</t>
  </si>
  <si>
    <t>0.6-1</t>
  </si>
  <si>
    <t>-40-125</t>
  </si>
  <si>
    <t>1.5-2.1</t>
  </si>
  <si>
    <t>25-110</t>
  </si>
  <si>
    <t>0.55-0.75</t>
  </si>
  <si>
    <t>Thank you for downloading this spreadsheet. This material is free to download from http://www.green-ic.org/pufdb</t>
  </si>
  <si>
    <t>When using for publication, please cite as follows:</t>
  </si>
  <si>
    <r>
      <t>M. Alioto, A. Alvarez, "Physically Unclonable Function database," [Online]. Available: </t>
    </r>
    <r>
      <rPr>
        <i/>
        <sz val="14"/>
        <rFont val="Times New Roman"/>
        <family val="1"/>
      </rPr>
      <t>http://www.green-ic.org/pufdb</t>
    </r>
    <r>
      <rPr>
        <sz val="14"/>
        <rFont val="Times New Roman"/>
        <family val="1"/>
      </rPr>
      <t>.</t>
    </r>
  </si>
  <si>
    <t>Authors of new PUFs who wish their PUF to be included in the future revisions of this database can send an email to Prof. Alioto (malioto&lt;at&gt;ieee&lt;dot&gt;org) and attach the following pieces of information:</t>
  </si>
  <si>
    <t>1.  reference of the publication presenting the PUF</t>
  </si>
  <si>
    <t>2.  PUF performance and numerical data based on the figures of merit used in this spreadsheet</t>
  </si>
  <si>
    <t>This spreadsheet contains the following data:</t>
  </si>
  <si>
    <t>1.  'README' tab is this information</t>
  </si>
  <si>
    <t>2.  'ASIC' tab lists all proposed PUFs implemented in ASIC, and their corresponding experimental data results</t>
  </si>
  <si>
    <t xml:space="preserve">3. 'DEFINITION' tab defines the metrics used </t>
  </si>
  <si>
    <t>4. 'TRENDS' tab shows some figures indicating trends in proposed PUFs</t>
  </si>
  <si>
    <t>Definition of Metrics Used</t>
  </si>
  <si>
    <r>
      <rPr>
        <b/>
        <sz val="11"/>
        <color rgb="FFFF0000"/>
        <rFont val="Calibri"/>
        <family val="2"/>
        <scheme val="minor"/>
      </rPr>
      <t>1</t>
    </r>
    <r>
      <rPr>
        <b/>
        <sz val="11"/>
        <color theme="3"/>
        <rFont val="Calibri"/>
        <family val="2"/>
        <scheme val="minor"/>
      </rPr>
      <t xml:space="preserve"> </t>
    </r>
    <r>
      <rPr>
        <b/>
        <sz val="11"/>
        <rFont val="Calibri"/>
        <family val="2"/>
        <scheme val="minor"/>
      </rPr>
      <t>Worst Native Instability at Nominal Condition (%)</t>
    </r>
  </si>
  <si>
    <t>=</t>
  </si>
  <si>
    <t>Type of Enhancement</t>
  </si>
  <si>
    <t>Bit redundancy and majority voting</t>
  </si>
  <si>
    <t>Temporal majority voting</t>
  </si>
  <si>
    <t>Burn-in</t>
  </si>
  <si>
    <t>Bit masking</t>
  </si>
  <si>
    <t>Bit encoding</t>
  </si>
  <si>
    <t>Revision History</t>
  </si>
  <si>
    <t>First release</t>
  </si>
  <si>
    <t>N/A</t>
  </si>
  <si>
    <t>2,3,4,5</t>
  </si>
  <si>
    <t>Vulnerable to optical Probing attacks?</t>
  </si>
  <si>
    <t>Vulnerable to modelling attacks?</t>
  </si>
  <si>
    <t>NO</t>
  </si>
  <si>
    <t>YES</t>
  </si>
  <si>
    <t>Company</t>
  </si>
  <si>
    <t>Intel</t>
  </si>
  <si>
    <t>Samsung</t>
  </si>
  <si>
    <t>Area (sq.um)</t>
  </si>
  <si>
    <t>Bias sigma</t>
  </si>
  <si>
    <t>-25,25,85</t>
  </si>
  <si>
    <t>Inter-PUF sigma</t>
  </si>
  <si>
    <t>Intra-PUF sigma</t>
  </si>
  <si>
    <t>nom</t>
  </si>
  <si>
    <t>2,6</t>
  </si>
  <si>
    <t>Hybrid</t>
  </si>
  <si>
    <t>NUS</t>
  </si>
  <si>
    <t>Umich</t>
  </si>
  <si>
    <t>-25-125</t>
  </si>
  <si>
    <t>0.7-1.2</t>
  </si>
  <si>
    <t>+/-10%</t>
  </si>
  <si>
    <t>-40,25,85</t>
  </si>
  <si>
    <t>Analog</t>
  </si>
  <si>
    <t>Delay</t>
  </si>
  <si>
    <t>Memory</t>
  </si>
  <si>
    <t>Area Per Bit</t>
  </si>
  <si>
    <t>Intrinsic-ID</t>
  </si>
  <si>
    <t>ASU</t>
  </si>
  <si>
    <t>0.7-1</t>
  </si>
  <si>
    <t>25,50,85</t>
  </si>
  <si>
    <t>none</t>
  </si>
  <si>
    <t>Native Instability</t>
  </si>
  <si>
    <t>Nominal Voltage</t>
  </si>
  <si>
    <t>0.9 +/- 10%</t>
  </si>
  <si>
    <t>1,1.2,1.4</t>
  </si>
  <si>
    <t>0.6-1.2</t>
  </si>
  <si>
    <t>0-80</t>
  </si>
  <si>
    <t>Energy Per Bit</t>
  </si>
  <si>
    <t>Type</t>
  </si>
  <si>
    <t>Throughput (Mb/s)</t>
  </si>
  <si>
    <t>Metastability</t>
  </si>
  <si>
    <t>-40,25,86</t>
  </si>
  <si>
    <t>-40,25,87</t>
  </si>
  <si>
    <t>-40,25,88</t>
  </si>
  <si>
    <t>-40,25,89</t>
  </si>
  <si>
    <t>-40,25,90</t>
  </si>
  <si>
    <t>KUL</t>
  </si>
  <si>
    <t>PSU</t>
  </si>
  <si>
    <t>27-67</t>
  </si>
  <si>
    <t>MIT</t>
  </si>
  <si>
    <t>Monostable</t>
  </si>
  <si>
    <t>Enorm = E*(0.7)^(nodes)/(V^2)</t>
  </si>
  <si>
    <t>Any comment/suggestion on how to further improve this page and the spreadsheet is welcome.</t>
  </si>
  <si>
    <t>number of raw unstable bits at nominal condition</t>
  </si>
  <si>
    <t>total number of bits</t>
  </si>
  <si>
    <t>maximum number of unstable bits across different V and T</t>
  </si>
  <si>
    <t>declared voltage and temperature range for which PUF is operable, and under which the maximum instability is computed</t>
  </si>
  <si>
    <t>average slope of instability rate trend versus V (or T)</t>
  </si>
  <si>
    <r>
      <rPr>
        <b/>
        <sz val="11"/>
        <color rgb="FFFF0000"/>
        <rFont val="Calibri"/>
        <family val="2"/>
        <scheme val="minor"/>
      </rPr>
      <t xml:space="preserve">4 </t>
    </r>
    <r>
      <rPr>
        <b/>
        <sz val="11"/>
        <rFont val="Calibri"/>
        <family val="2"/>
        <scheme val="minor"/>
      </rPr>
      <t>Type of stability enhancement</t>
    </r>
  </si>
  <si>
    <r>
      <rPr>
        <b/>
        <sz val="11"/>
        <color rgb="FFFF0000"/>
        <rFont val="Calibri"/>
        <family val="2"/>
        <scheme val="minor"/>
      </rPr>
      <t>1</t>
    </r>
    <r>
      <rPr>
        <b/>
        <sz val="11"/>
        <color theme="3"/>
        <rFont val="Calibri"/>
        <family val="2"/>
        <scheme val="minor"/>
      </rPr>
      <t xml:space="preserve"> </t>
    </r>
    <r>
      <rPr>
        <b/>
        <sz val="11"/>
        <rFont val="Calibri"/>
        <family val="2"/>
        <scheme val="minor"/>
      </rPr>
      <t>Worst native instability rate at nominal condition (%)</t>
    </r>
  </si>
  <si>
    <r>
      <rPr>
        <b/>
        <sz val="11"/>
        <color rgb="FFFF0000"/>
        <rFont val="Calibri"/>
        <family val="2"/>
        <scheme val="minor"/>
      </rPr>
      <t>2</t>
    </r>
    <r>
      <rPr>
        <b/>
        <sz val="11"/>
        <color theme="3"/>
        <rFont val="Calibri"/>
        <family val="2"/>
        <scheme val="minor"/>
      </rPr>
      <t xml:space="preserve"> </t>
    </r>
    <r>
      <rPr>
        <b/>
        <sz val="11"/>
        <rFont val="Calibri"/>
        <family val="2"/>
        <scheme val="minor"/>
      </rPr>
      <t>Maximum native instability rate under PVT variations (%)</t>
    </r>
  </si>
  <si>
    <r>
      <rPr>
        <b/>
        <sz val="11"/>
        <color rgb="FFFF0000"/>
        <rFont val="Calibri"/>
        <family val="2"/>
        <scheme val="minor"/>
      </rPr>
      <t>2</t>
    </r>
    <r>
      <rPr>
        <b/>
        <sz val="11"/>
        <rFont val="Calibri"/>
        <family val="2"/>
        <scheme val="minor"/>
      </rPr>
      <t xml:space="preserve"> Voltage range (V)</t>
    </r>
  </si>
  <si>
    <r>
      <rPr>
        <b/>
        <sz val="11"/>
        <color rgb="FFFF0000"/>
        <rFont val="Calibri"/>
        <family val="2"/>
        <scheme val="minor"/>
      </rPr>
      <t>2</t>
    </r>
    <r>
      <rPr>
        <b/>
        <sz val="11"/>
        <rFont val="Calibri"/>
        <family val="2"/>
        <scheme val="minor"/>
      </rPr>
      <t xml:space="preserve"> Temperature range (</t>
    </r>
    <r>
      <rPr>
        <b/>
        <vertAlign val="superscript"/>
        <sz val="11"/>
        <rFont val="Calibri"/>
        <family val="2"/>
        <scheme val="minor"/>
      </rPr>
      <t>o</t>
    </r>
    <r>
      <rPr>
        <b/>
        <sz val="11"/>
        <rFont val="Calibri"/>
        <family val="2"/>
        <scheme val="minor"/>
      </rPr>
      <t xml:space="preserve">C) </t>
    </r>
  </si>
  <si>
    <r>
      <rPr>
        <b/>
        <sz val="11"/>
        <color rgb="FFFF0000"/>
        <rFont val="Calibri"/>
        <family val="2"/>
        <scheme val="minor"/>
      </rPr>
      <t>5</t>
    </r>
    <r>
      <rPr>
        <b/>
        <sz val="11"/>
        <rFont val="Calibri"/>
        <family val="2"/>
        <scheme val="minor"/>
      </rPr>
      <t xml:space="preserve"> Enhanced instability Rate</t>
    </r>
  </si>
  <si>
    <t>instability rate achieved after applying stability enhancement</t>
  </si>
  <si>
    <r>
      <rPr>
        <b/>
        <sz val="11"/>
        <color rgb="FFFF0000"/>
        <rFont val="Calibri"/>
        <family val="2"/>
        <scheme val="minor"/>
      </rPr>
      <t xml:space="preserve">6 </t>
    </r>
    <r>
      <rPr>
        <b/>
        <sz val="11"/>
        <rFont val="Calibri"/>
        <family val="2"/>
        <scheme val="minor"/>
      </rPr>
      <t>Area per bit (F</t>
    </r>
    <r>
      <rPr>
        <b/>
        <vertAlign val="superscript"/>
        <sz val="11"/>
        <rFont val="Calibri"/>
        <family val="2"/>
        <scheme val="minor"/>
      </rPr>
      <t>2</t>
    </r>
    <r>
      <rPr>
        <b/>
        <sz val="11"/>
        <rFont val="Calibri"/>
        <family val="2"/>
        <scheme val="minor"/>
      </rPr>
      <t xml:space="preserve"> / bit)</t>
    </r>
  </si>
  <si>
    <r>
      <rPr>
        <b/>
        <sz val="11"/>
        <color rgb="FFFF0000"/>
        <rFont val="Calibri"/>
        <family val="2"/>
        <scheme val="minor"/>
      </rPr>
      <t xml:space="preserve">6 </t>
    </r>
    <r>
      <rPr>
        <b/>
        <sz val="11"/>
        <rFont val="Calibri"/>
        <family val="2"/>
        <scheme val="minor"/>
      </rPr>
      <t>Effective area per bit (F</t>
    </r>
    <r>
      <rPr>
        <b/>
        <vertAlign val="superscript"/>
        <sz val="11"/>
        <rFont val="Calibri"/>
        <family val="2"/>
        <scheme val="minor"/>
      </rPr>
      <t>2</t>
    </r>
    <r>
      <rPr>
        <b/>
        <sz val="11"/>
        <rFont val="Calibri"/>
        <family val="2"/>
        <scheme val="minor"/>
      </rPr>
      <t xml:space="preserve"> / bit)</t>
    </r>
  </si>
  <si>
    <t>probability of 1 in the PUF array</t>
  </si>
  <si>
    <t>average Hamming distance between measured keys from different dice (for inter-PUF) or the same die (for intra-PUF) under repeated challenges, divided by the length of the key</t>
  </si>
  <si>
    <t>inter-PUF FHD</t>
  </si>
  <si>
    <t>intra-PUF FHD</t>
  </si>
  <si>
    <t>inter-PUF FHD average - 3 sigma</t>
  </si>
  <si>
    <t>intra-PUF FHD + 3 sigma</t>
  </si>
  <si>
    <r>
      <rPr>
        <b/>
        <sz val="11"/>
        <color rgb="FFFF0000"/>
        <rFont val="Calibri"/>
        <family val="2"/>
        <scheme val="minor"/>
      </rPr>
      <t xml:space="preserve">10 </t>
    </r>
    <r>
      <rPr>
        <b/>
        <sz val="11"/>
        <rFont val="Calibri"/>
        <family val="2"/>
        <scheme val="minor"/>
      </rPr>
      <t>Autocorrelation function</t>
    </r>
  </si>
  <si>
    <t>Year</t>
  </si>
  <si>
    <t>Reference</t>
  </si>
  <si>
    <t>type of enhancement adopted to mitigate the instability rate. See corresponding numbers on the right (column H)</t>
  </si>
  <si>
    <t>upper bound (or negative lower bound) of the autocorrelation function for 95% confidence level</t>
  </si>
  <si>
    <t>Ref ID</t>
  </si>
  <si>
    <t>Publication Acronyms</t>
  </si>
  <si>
    <r>
      <t>bitcell area normalized to F</t>
    </r>
    <r>
      <rPr>
        <vertAlign val="superscript"/>
        <sz val="11"/>
        <color theme="1"/>
        <rFont val="Calibri"/>
        <family val="2"/>
        <scheme val="minor"/>
      </rPr>
      <t>2</t>
    </r>
    <r>
      <rPr>
        <sz val="11"/>
        <color theme="1"/>
        <rFont val="Calibri"/>
        <family val="2"/>
        <scheme val="minor"/>
      </rPr>
      <t xml:space="preserve"> for technology-independent comparison (F = minimum feature size)</t>
    </r>
  </si>
  <si>
    <r>
      <t>total PUF area normalized to F</t>
    </r>
    <r>
      <rPr>
        <vertAlign val="superscript"/>
        <sz val="11"/>
        <color theme="1"/>
        <rFont val="Calibri"/>
        <family val="2"/>
        <scheme val="minor"/>
      </rPr>
      <t>2</t>
    </r>
    <r>
      <rPr>
        <sz val="11"/>
        <color theme="1"/>
        <rFont val="Calibri"/>
        <family val="2"/>
        <scheme val="minor"/>
      </rPr>
      <t xml:space="preserve"> (including enhancement circuit) divided by number of bits</t>
    </r>
  </si>
  <si>
    <t>Technology (nm)</t>
  </si>
  <si>
    <t xml:space="preserve">Published in </t>
  </si>
  <si>
    <t xml:space="preserve"> IEEE International Solid-State Circuits Conference</t>
  </si>
  <si>
    <t>IEEE Symposium on VLSI Circuits</t>
  </si>
  <si>
    <t>Custom Integrated Circuits Conference</t>
  </si>
  <si>
    <t>IEEE Transactions on Very Large Scale Integrated Systems</t>
  </si>
  <si>
    <t>IEEE International Symposium on Hardware-Oriented Security and Trust</t>
  </si>
  <si>
    <t>European Solid State Circuit Conference</t>
  </si>
  <si>
    <t>Design, Automation &amp; Test in Europe Conference &amp; Exhibition</t>
  </si>
  <si>
    <t>IEEE Journal on Solid State Circuits</t>
  </si>
  <si>
    <t>IEEE Transactions on Circuits and Systems I</t>
  </si>
  <si>
    <r>
      <t xml:space="preserve"> </t>
    </r>
    <r>
      <rPr>
        <b/>
        <sz val="11"/>
        <color rgb="FFFF0000"/>
        <rFont val="Calibri"/>
        <family val="2"/>
        <scheme val="minor"/>
      </rPr>
      <t xml:space="preserve">11                               </t>
    </r>
    <r>
      <rPr>
        <b/>
        <sz val="11"/>
        <rFont val="Calibri"/>
        <family val="2"/>
        <scheme val="minor"/>
      </rPr>
      <t>FOM1</t>
    </r>
  </si>
  <si>
    <r>
      <rPr>
        <b/>
        <sz val="11"/>
        <color rgb="FFFF0000"/>
        <rFont val="Calibri"/>
        <family val="2"/>
        <scheme val="minor"/>
      </rPr>
      <t>12</t>
    </r>
    <r>
      <rPr>
        <b/>
        <sz val="11"/>
        <rFont val="Calibri"/>
        <family val="2"/>
        <scheme val="minor"/>
      </rPr>
      <t xml:space="preserve">                              FOM2</t>
    </r>
  </si>
  <si>
    <r>
      <rPr>
        <b/>
        <sz val="11"/>
        <color rgb="FFFF0000"/>
        <rFont val="Calibri"/>
        <family val="2"/>
        <scheme val="minor"/>
      </rPr>
      <t xml:space="preserve">11 </t>
    </r>
    <r>
      <rPr>
        <b/>
        <sz val="11"/>
        <rFont val="Calibri"/>
        <family val="2"/>
        <scheme val="minor"/>
      </rPr>
      <t>FOM1</t>
    </r>
  </si>
  <si>
    <r>
      <rPr>
        <b/>
        <sz val="11"/>
        <color rgb="FFFF0000"/>
        <rFont val="Calibri"/>
        <family val="2"/>
        <scheme val="minor"/>
      </rPr>
      <t xml:space="preserve">12 </t>
    </r>
    <r>
      <rPr>
        <b/>
        <sz val="11"/>
        <rFont val="Calibri"/>
        <family val="2"/>
        <scheme val="minor"/>
      </rPr>
      <t>FOM2</t>
    </r>
  </si>
  <si>
    <t>Identifiability</t>
  </si>
  <si>
    <t>Area/bit * Energy/bit * instability under PVT</t>
  </si>
  <si>
    <t>3-sigma Identifiability</t>
  </si>
  <si>
    <t>Effective area/bit * Energy/bit * instability under PVT</t>
  </si>
  <si>
    <r>
      <rPr>
        <b/>
        <sz val="11"/>
        <color rgb="FFFF0000"/>
        <rFont val="Calibri"/>
        <family val="2"/>
        <scheme val="minor"/>
      </rPr>
      <t>7</t>
    </r>
    <r>
      <rPr>
        <b/>
        <sz val="11"/>
        <color theme="3"/>
        <rFont val="Calibri"/>
        <family val="2"/>
        <scheme val="minor"/>
      </rPr>
      <t xml:space="preserve">            </t>
    </r>
    <r>
      <rPr>
        <b/>
        <sz val="11"/>
        <rFont val="Calibri"/>
        <family val="2"/>
        <scheme val="minor"/>
      </rPr>
      <t>Bias</t>
    </r>
  </si>
  <si>
    <t>UWash</t>
  </si>
  <si>
    <t>UPisa</t>
  </si>
  <si>
    <t>UMich</t>
  </si>
  <si>
    <t>IBM</t>
  </si>
  <si>
    <t>CMU</t>
  </si>
  <si>
    <t>CU</t>
  </si>
  <si>
    <t>HUST</t>
  </si>
  <si>
    <t>Norm</t>
  </si>
  <si>
    <t>Einv (65nm,1V)</t>
  </si>
  <si>
    <t>A. B. Alvarez, W. Zhao, and M. Alioto, “Static Physically Unclonable Functions for Secure Chip Identification at 0.6-1 V and 15fJ/bit in 65nm,” IEEE J. Solid State Circuits, vol. 51, no. 3, pp. 763–775, 2016.</t>
  </si>
  <si>
    <t>0.4-0.5</t>
  </si>
  <si>
    <t>A slightly increasing trend in native instability rate is seen. This can be attributed to the fact that enhancement schemes (i.e., ECC) are anyway used in order to make the PUF suitable for cryptography applications.</t>
  </si>
  <si>
    <r>
      <t xml:space="preserve">K. Lofstrom, W. R. Daasch, and D. Taylor, “IC Identification Circuit using Device Mismatch,” </t>
    </r>
    <r>
      <rPr>
        <i/>
        <sz val="11"/>
        <rFont val="Calibri"/>
        <family val="2"/>
        <scheme val="minor"/>
      </rPr>
      <t>ISSCC Dig. Tech. Papers</t>
    </r>
    <r>
      <rPr>
        <sz val="11"/>
        <rFont val="Calibri"/>
        <family val="2"/>
        <scheme val="minor"/>
      </rPr>
      <t>, 2000, pp. 372–373.</t>
    </r>
  </si>
  <si>
    <r>
      <t xml:space="preserve">Y. Su, J. Holleman, and B. Otis, “A 1.6pJ/bit 96% Stable Chip-ID Generating Circuit using Process Variations,” </t>
    </r>
    <r>
      <rPr>
        <i/>
        <sz val="11"/>
        <rFont val="Calibri"/>
        <family val="2"/>
        <scheme val="minor"/>
      </rPr>
      <t>ISSCC Dig. Tech. Papers</t>
    </r>
    <r>
      <rPr>
        <sz val="11"/>
        <rFont val="Calibri"/>
        <family val="2"/>
        <scheme val="minor"/>
      </rPr>
      <t>, 2007, pp. 406–408.</t>
    </r>
  </si>
  <si>
    <r>
      <t xml:space="preserve">B. Karpinskyy, Y. Lee, Y. Choi, Y. Kim, M. Noh, and S. Lee, “Physically Unclonable Function for Secure Key Generation with a Key Error Rate of 2E-38 in 45nm Smart-Card Chips,” </t>
    </r>
    <r>
      <rPr>
        <i/>
        <sz val="11"/>
        <rFont val="Calibri"/>
        <family val="2"/>
        <scheme val="minor"/>
      </rPr>
      <t>ISSCC Dig. Tech. Papers</t>
    </r>
    <r>
      <rPr>
        <sz val="11"/>
        <rFont val="Calibri"/>
        <family val="2"/>
        <scheme val="minor"/>
      </rPr>
      <t>, 2016, pp. 158–160.</t>
    </r>
  </si>
  <si>
    <t>S. Mathew, S. Satpathy, V. Suresh, M. Anders, H. Kaul, A. Agarwal, S. Hsu, G. Chen, R. Krishnamurthy, and V. De, “A 4fJ/bit Delay-Hardened Physically Unclonable Function Circuit with Selective Bit Destabilization in 14nm Tri-gate CMOS,” IEEE Symp. VLSI Circuits, 2016, pp. 248–249.</t>
  </si>
  <si>
    <t>J. Li and M. Seok, “A 3.07µm^2/Bitcell Physically Unclonable Function with 3.5% and 1% Bit-Instability across 0 to 80°C and 0.6 to 1.2V in a 65nm CMOS,” IEEE Symp. VLSI Circuits, 2015, pp. 250–251.</t>
  </si>
  <si>
    <t>N. Liu, S. Hanson, D. Sylvester, and D. Blaauw, “OxID: On-chip one-time random ID generation using oxide breakdown,” IEEE Symp. VLSI Circuits, pp. 231–232, 2010.</t>
  </si>
  <si>
    <t>S. Stanzione and G. Iannaccone, “Silicon Physical Unclonable Function Resistant to a 10^25-trial brute force Attack in 90 nm CMOS,” IEEE Symp. VLSI Circuits, 2009, pp. 116–117.</t>
  </si>
  <si>
    <r>
      <t xml:space="preserve">J. W. Lee, B. Gassend, G. E. Suh, M. van Dijk, and S. Devadas, “A Technique to Build a Secret Key in Integrated Circuits for Identification and Authentication Applications,” </t>
    </r>
    <r>
      <rPr>
        <i/>
        <sz val="11"/>
        <rFont val="Calibri"/>
        <family val="2"/>
        <scheme val="minor"/>
      </rPr>
      <t>IEEE Symp. VLSI Circuits</t>
    </r>
    <r>
      <rPr>
        <sz val="11"/>
        <rFont val="Calibri"/>
        <family val="2"/>
        <scheme val="minor"/>
      </rPr>
      <t>, 2004, pp. 176–179.</t>
    </r>
  </si>
  <si>
    <t>BER after       stability enhancement</t>
  </si>
  <si>
    <r>
      <rPr>
        <b/>
        <sz val="11"/>
        <color rgb="FFFF0000"/>
        <rFont val="Calibri"/>
        <family val="2"/>
        <scheme val="minor"/>
      </rPr>
      <t>7</t>
    </r>
    <r>
      <rPr>
        <b/>
        <sz val="11"/>
        <rFont val="Calibri"/>
        <family val="2"/>
        <scheme val="minor"/>
      </rPr>
      <t xml:space="preserve">               Diff Bias</t>
    </r>
  </si>
  <si>
    <r>
      <rPr>
        <b/>
        <sz val="11"/>
        <color rgb="FFFF0000"/>
        <rFont val="Calibri"/>
        <family val="2"/>
        <scheme val="minor"/>
      </rPr>
      <t>7</t>
    </r>
    <r>
      <rPr>
        <b/>
        <sz val="11"/>
        <color theme="3"/>
        <rFont val="Calibri"/>
        <family val="2"/>
        <scheme val="minor"/>
      </rPr>
      <t xml:space="preserve"> </t>
    </r>
    <r>
      <rPr>
        <b/>
        <sz val="11"/>
        <rFont val="Calibri"/>
        <family val="2"/>
        <scheme val="minor"/>
      </rPr>
      <t>Diff Bias</t>
    </r>
  </si>
  <si>
    <t>abs(0.5 - Bias), where 0.5 is the ideal bias</t>
  </si>
  <si>
    <t xml:space="preserve">Metastability-based PUFs tend to have the highest native instability rate, while monostable PUFs have the lowest. </t>
  </si>
  <si>
    <t>IET</t>
  </si>
  <si>
    <t>HU</t>
  </si>
  <si>
    <t>VIA</t>
  </si>
  <si>
    <t>IEEE Electronic Letters</t>
  </si>
  <si>
    <t>1.6-2</t>
  </si>
  <si>
    <t>25,70</t>
  </si>
  <si>
    <t>eDRAM</t>
  </si>
  <si>
    <r>
      <t xml:space="preserve">H. Fujiwara, M. Yabuuchi, H. Nakano, H. Kawai, K. Nii, and K. Arimoto, “A Chip-ID Generating Circuit for Dependable LSI Using Random Address Errors on Embedded SRAM and On-Chip Memory BIST,” in </t>
    </r>
    <r>
      <rPr>
        <i/>
        <sz val="11"/>
        <color theme="1"/>
        <rFont val="Calibri"/>
        <family val="2"/>
        <scheme val="minor"/>
      </rPr>
      <t>Symposium on VLSI Circuits (VLSI)</t>
    </r>
    <r>
      <rPr>
        <sz val="11"/>
        <color theme="1"/>
        <rFont val="Calibri"/>
        <family val="2"/>
        <scheme val="minor"/>
      </rPr>
      <t>, 2011, vol. 5, pp. 76–77.</t>
    </r>
  </si>
  <si>
    <t>Renesas</t>
  </si>
  <si>
    <t>MBIST</t>
  </si>
  <si>
    <t>B. D. Choi, T. W. Kim, and D. K. Kim, “Zero bit error rate ID generation circuit using via formation probability in 0.18 µm CMOS process,” IET Journals Mag., vol. 50, no. 12, pp. 876–877, 2014.</t>
  </si>
  <si>
    <r>
      <t xml:space="preserve">D. Fainstein, S. Rosenblatt, A. Cestero, N. Robson, T. Kirihata, and S. S. Iyer, “Dynamic Intrinsic Chip ID Using 32nm High-K/Metal Gate SOI Embedded DRAM,” in </t>
    </r>
    <r>
      <rPr>
        <i/>
        <sz val="11"/>
        <color theme="1"/>
        <rFont val="Calibri"/>
        <family val="2"/>
        <scheme val="minor"/>
      </rPr>
      <t>Symposium on VLSI Circuits</t>
    </r>
    <r>
      <rPr>
        <sz val="11"/>
        <color theme="1"/>
        <rFont val="Calibri"/>
        <family val="2"/>
        <scheme val="minor"/>
      </rPr>
      <t>, 2012, vol. 128, pp. 146–147.</t>
    </r>
  </si>
  <si>
    <t>RICID</t>
  </si>
  <si>
    <r>
      <rPr>
        <b/>
        <sz val="11"/>
        <color rgb="FFFF0000"/>
        <rFont val="Calibri"/>
        <family val="2"/>
        <scheme val="minor"/>
      </rPr>
      <t>5</t>
    </r>
    <r>
      <rPr>
        <b/>
        <sz val="11"/>
        <rFont val="Calibri"/>
        <family val="2"/>
        <scheme val="minor"/>
      </rPr>
      <t xml:space="preserve"> Bit Error Rate (%)</t>
    </r>
  </si>
  <si>
    <t>&lt;0.07</t>
  </si>
  <si>
    <t>&lt;0.009</t>
  </si>
  <si>
    <t>25,85</t>
  </si>
  <si>
    <t>-20,27,85</t>
  </si>
  <si>
    <t>4,6</t>
  </si>
  <si>
    <t>0.41-0.5</t>
  </si>
  <si>
    <t>0.48-0.516</t>
  </si>
  <si>
    <t>2,3,4</t>
  </si>
  <si>
    <t>&lt;10e-8</t>
  </si>
  <si>
    <t>NA</t>
  </si>
  <si>
    <t>PUFdb_16-11-2016</t>
  </si>
  <si>
    <t>all</t>
  </si>
  <si>
    <t>The area per bit is highest for delay-based PUFs (the area is normalized to F2, being F the minimum feature size of the process).</t>
  </si>
  <si>
    <t>In general, the area efficiency of PUF bitcells has improved over time, especially due to the adoption of more digital approaches that offer better density than analog ones (especially for more recent technologies).</t>
  </si>
  <si>
    <t>Analog PUF bitcells have an opposite trend, as their area tends to increase over time, when area is normalized to the square of the minimum feature size of the technology. This is mostly because of their analog nature, which does not really enable shrinking with finer technologies.</t>
  </si>
  <si>
    <t>Energy per bit is improving, thanks to the adoption of more energy-aware PUFs. Delay-based PUFs are an exception, as they tend to have larger energy per bit over the years, due to the need for a larger number of ring oscillators or oscillations to maintain acceptable stability.
Same trend is shown in the normalized energy per bit, showing that the circuit improvements in terms of energy definitely dominate the benefits of mere technology scaling (energy is normalized to the energy consumed by a minimum-sized inverter gate).</t>
  </si>
  <si>
    <t xml:space="preserve">Number of evaluations </t>
  </si>
  <si>
    <t>Thresholding</t>
  </si>
  <si>
    <t>K. Yang, Q. Dong, D. Blaauw, and D. Sylvester, “A 553F^2 2-Transistor Amplifier-Based Physically Unclonable Function (PUF) with 1.67% Native Instability,” in IEEE Solid State Circuits Conference (ISSCC), 2017, pp. 160–162.</t>
  </si>
  <si>
    <t>amplifier_LVT</t>
  </si>
  <si>
    <t>T. Bryant, S. Chowdhury, D. Forte, M. Tehranipoor, and N. Maghari, “A Stochastic All-Digital Weak Physically Unclonable Function for Analog / Mixed-Signal Applications,” in IEEE International Symposium on Hardware-Oriented Security and Trust (HOST), 2017, pp. 140–145.</t>
  </si>
  <si>
    <t>U. Florida</t>
  </si>
  <si>
    <t>S. Satpathy et al., “A 4-fJ/b Delay-Hardened Physically Unclonable Function Circuit With Selective Bit Destabilization in 14-nm Trigate CMOS,” IEEE J. Solid State Circuits, vol. 52, no. 4, pp. 940–949, 2017.</t>
  </si>
  <si>
    <t>Y. Yoshimoto, Y. Katoh, S. Ogasahara, Z. Wei, and K. Kouno, “A ReRAM-based Physically Unclonable Function with Bit Error Rate &lt; 0.5% after 10 years at 125˚C for 40nm Embedded Application,” in Symposium on VLSI Technology, 2016, pp. 256–257.</t>
  </si>
  <si>
    <t>VLSI Tech</t>
  </si>
  <si>
    <t>Panasonic</t>
  </si>
  <si>
    <t>ReRAM</t>
  </si>
  <si>
    <t>amplifier_DNW</t>
  </si>
  <si>
    <t>0.8-1.8</t>
  </si>
  <si>
    <t>-40-120</t>
  </si>
  <si>
    <r>
      <rPr>
        <b/>
        <sz val="11"/>
        <color rgb="FFFF0000"/>
        <rFont val="Calibri"/>
        <family val="2"/>
        <scheme val="minor"/>
      </rPr>
      <t>3</t>
    </r>
    <r>
      <rPr>
        <b/>
        <sz val="11"/>
        <color theme="3"/>
        <rFont val="Calibri"/>
        <family val="2"/>
        <scheme val="minor"/>
      </rPr>
      <t xml:space="preserve"> </t>
    </r>
    <r>
      <rPr>
        <b/>
        <sz val="11"/>
        <rFont val="Calibri"/>
        <family val="2"/>
        <scheme val="minor"/>
      </rPr>
      <t>Bit flip per 0.1V (%/0.1V)</t>
    </r>
  </si>
  <si>
    <r>
      <rPr>
        <b/>
        <sz val="11"/>
        <color rgb="FFFF0000"/>
        <rFont val="Calibri"/>
        <family val="2"/>
        <scheme val="minor"/>
      </rPr>
      <t>3</t>
    </r>
    <r>
      <rPr>
        <b/>
        <sz val="11"/>
        <color theme="3"/>
        <rFont val="Calibri"/>
        <family val="2"/>
        <scheme val="minor"/>
      </rPr>
      <t xml:space="preserve"> </t>
    </r>
    <r>
      <rPr>
        <b/>
        <sz val="11"/>
        <rFont val="Calibri"/>
        <family val="2"/>
        <scheme val="minor"/>
      </rPr>
      <t>Bit flip per 10C T (%/10degC)</t>
    </r>
  </si>
  <si>
    <t>Y. Su, J. Holleman, and B. P. Otis, “A Digital 1.6pJ/bit Chip Identification Circuit Using Process Variations,” IEEE J. Solid-State Circuits, vol. 43, no. 1, pp. 69–77, 2008.</t>
  </si>
  <si>
    <t>PUFdb_24-07-2017</t>
  </si>
  <si>
    <t xml:space="preserve">Added new publications </t>
  </si>
  <si>
    <t>2,4</t>
  </si>
  <si>
    <t>2Tail</t>
  </si>
  <si>
    <t>S. Stanzione, D. Puntin, and G. Iannaccone, “CMOS Silicon Physical Unclonable Functions Based on Intrinsic Process Variability,” IEEE J. Solid-State Circuits, vol. 46, no. 6, pp. 1456–1463, 2011.</t>
  </si>
  <si>
    <t>0.8-1.4</t>
  </si>
  <si>
    <t>0.54-0.66</t>
  </si>
  <si>
    <t>25-125</t>
  </si>
  <si>
    <t>1-1.2</t>
  </si>
  <si>
    <r>
      <t xml:space="preserve">A. Alvarez, W. Zhao, and M. Alioto, “15 fJ/bit Static Physically Unclonable Functions for Secure Chip Identification with &lt; 2 % Native Bit Instability and 140x Inter/Intra PUF Hamming Distance Separation in 65nm,” </t>
    </r>
    <r>
      <rPr>
        <i/>
        <sz val="11"/>
        <rFont val="Calibri"/>
        <family val="2"/>
        <scheme val="minor"/>
      </rPr>
      <t>ISSCC Dig. Tech. Papers</t>
    </r>
    <r>
      <rPr>
        <sz val="11"/>
        <rFont val="Calibri"/>
        <family val="2"/>
        <scheme val="minor"/>
      </rPr>
      <t>, 2015, pp. 256–258.</t>
    </r>
  </si>
  <si>
    <t xml:space="preserve"> Z. Wang, Y. Chen, A. Patil, C. H. Chang, and A. Basu, “Current Mirror Array: A novel lightweight strong PUF topology with enhanced reliability,” in IEEE International Symposium on Circuits and Systems (ISCAS), 2017, pp. 1–4.</t>
  </si>
  <si>
    <t>ISCAS</t>
  </si>
  <si>
    <t>NTU</t>
  </si>
  <si>
    <t>cma</t>
  </si>
  <si>
    <t>-45-90</t>
  </si>
  <si>
    <t>1-1.5</t>
  </si>
  <si>
    <t>3Latch</t>
  </si>
  <si>
    <t>J. Li, T. Yang, and M. Seok, “A Technique to Transform 6T-SRAM Arrays into Robust Analog PUF with Minimal Overhead,” in IEEE International Symposium on Circuits and Systems (ISCAS), 2017, pp. 7–10.</t>
  </si>
  <si>
    <t>a_sram</t>
  </si>
  <si>
    <t>0.5-1.2</t>
  </si>
  <si>
    <t>-15-85</t>
  </si>
  <si>
    <t>Instability</t>
  </si>
  <si>
    <t>Energy</t>
  </si>
  <si>
    <t>Norm Energy</t>
  </si>
  <si>
    <t>S. Taneja, A. B. Alvarez, G. Sadagopan, and M. Alioto, “A Fully-Synthesizable C-Element Based PUF Featuring Temperature Variation Compensation with Native 2.8% BER , 1.02fJ/b at 0.8-1.0V in 40nm,” IEEE Asian Solid-State Circuits Conf., vol. 1, no. 2016, pp. 301–304, 2017.</t>
  </si>
  <si>
    <t>ASSCC</t>
  </si>
  <si>
    <t>Asian Solid State Circuits Conference</t>
  </si>
  <si>
    <t>IEEE Symposium on VLSI Technologies</t>
  </si>
  <si>
    <t>M.-Y. Wu et al., “A PUF Scheme Using Competing Oxide Rupture with Bit Error Rate Approaching Zero,” in IEEE International Solid State Circuits Conference (ISSCC), 2018, pp. 130–132.</t>
  </si>
  <si>
    <t>eMemory</t>
  </si>
  <si>
    <t>J. Li, T. Yang, M. Yang, P. R. Kinget, and M. Seok, “An Area-Efficient Microprocessor-Based SoC With an Instruction-Cache Transformable to an Ambient Temperature Sensor and a Physically Unclonable Function,” IEEE J. Solid-State Circuits, vol. 53, no. 3, pp. 728–737, 2018.</t>
  </si>
  <si>
    <t>J. Lee, D. Lee, Y. Lee, and Y. Lee, “A 445F^2 Leakage-Based Physically Unclonable Function with Lossless Stabilization Through Remapping for IoT Security,” in IEEE International Solid-State Circuits Conference (ISSCC), 2018, pp. 132–134.</t>
  </si>
  <si>
    <t>SU</t>
  </si>
  <si>
    <t>footless leakage-based</t>
  </si>
  <si>
    <t>footed leakage-based</t>
  </si>
  <si>
    <t>1.2-1.8</t>
  </si>
  <si>
    <t>Remapping</t>
  </si>
  <si>
    <t>2,8</t>
  </si>
  <si>
    <t>Latch symmetric</t>
  </si>
  <si>
    <t>Latch centroid</t>
  </si>
  <si>
    <t>25-50</t>
  </si>
  <si>
    <t>J. Li and M. Seok, “Ultra-compact and robust physically unclonable function based on voltage-compensated proportional-to-absolute-temperature voltage generators,” IEEE J. Solid-State Circuits, vol. 51, no. 9, pp. 2192–2202, 2016.</t>
  </si>
  <si>
    <t>S. K. Mathew, S. K. Satpathy, M. A. Anders, H. Kaul, S. K. Hsu, A. Agarwal, G. K. Chen, R. J. Parker, R. K. Krishnamurthy, and V. De, “A 0.19pJ/b PVT-Variation-Tolerant Hybrid Physically Unclonable Function Circuit for 100% Stable Secure Key Generation in 22nm CMOS,” ISSCC Dig. Tech. Papers, pp. 278–280.</t>
  </si>
  <si>
    <t>K. Yang, Q. Dong, D. Blaauw, and D. Sylvester, “A Physically Unclonable Function with BER &lt; 10^-8 for Robust Chip Authentication Using Oscillator Collapse in 40nm CMOS,” ISSCC Dig. Tech. Papers, 2015, pp. 254–256.</t>
  </si>
  <si>
    <t>Added new publications and new enhancement technique</t>
  </si>
  <si>
    <t>X. Xi, H. Zhuang, N. Sun, and M. Orshansky, “Strong Subthreshold Current Array PUF with 2^65 Challenge-Response Pairs Resilient to Machine Learning Attacks in 130nm CMOS,” in Symposium on VLSI Circuits, 2017, pp. 268–269.</t>
  </si>
  <si>
    <t>UT</t>
  </si>
  <si>
    <t>SCA PUF</t>
  </si>
  <si>
    <t>1.08-1.32</t>
  </si>
  <si>
    <t>-20-80</t>
  </si>
  <si>
    <t>0-100</t>
  </si>
  <si>
    <t>0.5-1</t>
  </si>
  <si>
    <t>-40-150</t>
  </si>
  <si>
    <t>PUFdb_31-05-2018</t>
  </si>
  <si>
    <t>0.8-1</t>
  </si>
  <si>
    <t>Norm E / Bit</t>
  </si>
  <si>
    <t>PUFdb rev 15-10-2018 (DD-MM-YYYY)</t>
  </si>
  <si>
    <t>PUFdb_15-10-2018</t>
  </si>
  <si>
    <t>K. H. Chuang et al., “A multi-bit/cell PUF using analog breakdown positions in CMOS,” IEEE Int. Reliab. Phys. Symp. Proc., vol. 2018–March, p. PCR.21-PCR.25, 2018.</t>
  </si>
  <si>
    <t>Y. Hori, T. Katashita, and Y. Ogasahara, “A 65-nm SOTB implementation of a physically unclonable function and its performance improvement by body bias control,” in IEEE SOI-3D-Subthreshold Microelectronics Unified Conference (S3S), 2018, vol. 2018–March, pp. 1–3.</t>
  </si>
  <si>
    <t>P. P. Crystals, X. Lu, S. Member, L. Hong, and S. Member, “CMOS Optical PUFs Using Noise-Immune Incorporating Passive Variations,” IEEE J. Solid-State Circuits, vol. 53, no. 9, pp. 2709–2721, 2018.</t>
  </si>
  <si>
    <t>S. Taneja, A. B. Alvarez, and M. Alioto, “Fully Synthesizable PUF Featuring Hysteresis and Temperature Compensation for 3.2% Native BER and 1.02 fJ/b in 40 nm,” IEEE J. Solid-State Circuits, vol. 53, no. 10, pp. 2828–2839, 2018.</t>
  </si>
  <si>
    <t>IRPS</t>
  </si>
  <si>
    <t>IEEE International Reliability Physics Symposium</t>
  </si>
  <si>
    <t>S3S</t>
  </si>
  <si>
    <t>IEEE SOI-3D-Subthreshold Microelectronics Unified Conference</t>
  </si>
  <si>
    <t>AIST</t>
  </si>
  <si>
    <t>Arbiter-SOTB</t>
  </si>
  <si>
    <t>0.4-0.8</t>
  </si>
  <si>
    <t>--</t>
  </si>
  <si>
    <t>Body-bias</t>
  </si>
  <si>
    <t>BD-PUF</t>
  </si>
  <si>
    <t>0.9-1.5</t>
  </si>
  <si>
    <t>Princeton</t>
  </si>
  <si>
    <t>photodetector</t>
  </si>
  <si>
    <t>25-80</t>
  </si>
  <si>
    <t>2.7-3.6</t>
  </si>
  <si>
    <t>Weak/Strong PUF?</t>
  </si>
  <si>
    <t>Weak</t>
  </si>
  <si>
    <t>Strong</t>
  </si>
  <si>
    <t>Added new publications and new enhancement technique; Added PUF classification (Weak/Strong)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</si>
</sst>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
  </numFmts>
  <fonts count="26"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b/>
      <sz val="11"/>
      <name val="Calibri"/>
      <family val="2"/>
      <scheme val="minor"/>
    </font>
    <font>
      <sz val="14"/>
      <name val="Calibri"/>
      <family val="2"/>
      <scheme val="minor"/>
    </font>
    <font>
      <i/>
      <sz val="11"/>
      <name val="Calibri"/>
      <family val="2"/>
      <scheme val="minor"/>
    </font>
    <font>
      <b/>
      <sz val="11"/>
      <color theme="3"/>
      <name val="Calibri"/>
      <family val="2"/>
      <scheme val="minor"/>
    </font>
    <font>
      <b/>
      <sz val="11"/>
      <color rgb="FFFF0000"/>
      <name val="Calibri"/>
      <family val="2"/>
      <scheme val="minor"/>
    </font>
    <font>
      <b/>
      <sz val="18"/>
      <color theme="1"/>
      <name val="Calibri"/>
      <family val="2"/>
      <scheme val="minor"/>
    </font>
    <font>
      <sz val="14"/>
      <color theme="1"/>
      <name val="Calibri"/>
      <family val="2"/>
      <scheme val="minor"/>
    </font>
    <font>
      <i/>
      <sz val="14"/>
      <color theme="3"/>
      <name val="Calibri"/>
      <family val="2"/>
      <scheme val="minor"/>
    </font>
    <font>
      <sz val="14"/>
      <color theme="3"/>
      <name val="Calibri"/>
      <family val="2"/>
      <scheme val="minor"/>
    </font>
    <font>
      <sz val="14"/>
      <name val="Times New Roman"/>
      <family val="1"/>
    </font>
    <font>
      <i/>
      <sz val="14"/>
      <name val="Times New Roman"/>
      <family val="1"/>
    </font>
    <font>
      <b/>
      <sz val="14"/>
      <color theme="1"/>
      <name val="Calibri"/>
      <family val="2"/>
      <scheme val="minor"/>
    </font>
    <font>
      <b/>
      <vertAlign val="superscript"/>
      <sz val="11"/>
      <name val="Calibri"/>
      <family val="2"/>
      <scheme val="minor"/>
    </font>
    <font>
      <sz val="8"/>
      <color indexed="81"/>
      <name val="Tahoma"/>
      <family val="2"/>
    </font>
    <font>
      <b/>
      <sz val="8"/>
      <color indexed="81"/>
      <name val="Tahoma"/>
      <family val="2"/>
    </font>
    <font>
      <b/>
      <sz val="18"/>
      <name val="Calibri"/>
      <family val="2"/>
      <scheme val="minor"/>
    </font>
    <font>
      <b/>
      <sz val="9"/>
      <color indexed="81"/>
      <name val="Tahoma"/>
      <family val="2"/>
    </font>
    <font>
      <vertAlign val="superscript"/>
      <sz val="11"/>
      <color theme="1"/>
      <name val="Calibri"/>
      <family val="2"/>
      <scheme val="minor"/>
    </font>
    <font>
      <b/>
      <sz val="12"/>
      <color theme="1"/>
      <name val="Calibri"/>
      <family val="2"/>
      <scheme val="minor"/>
    </font>
    <font>
      <sz val="9"/>
      <color indexed="81"/>
      <name val="Tahoma"/>
      <charset val="1"/>
    </font>
    <font>
      <b/>
      <sz val="9"/>
      <color indexed="81"/>
      <name val="Tahoma"/>
      <charset val="1"/>
    </font>
    <font>
      <i/>
      <sz val="11"/>
      <color theme="1"/>
      <name val="Calibri"/>
      <family val="2"/>
      <scheme val="minor"/>
    </font>
  </fonts>
  <fills count="7">
    <fill>
      <patternFill patternType="none"/>
    </fill>
    <fill>
      <patternFill patternType="gray125"/>
    </fill>
    <fill>
      <patternFill patternType="solid">
        <fgColor theme="6" tint="0.59999389629810485"/>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193">
    <xf numFmtId="0" fontId="0" fillId="0" borderId="0" xfId="0"/>
    <xf numFmtId="0" fontId="0" fillId="0" borderId="0" xfId="0" applyAlignment="1">
      <alignment wrapText="1"/>
    </xf>
    <xf numFmtId="0" fontId="0" fillId="2" borderId="0" xfId="0" applyFill="1"/>
    <xf numFmtId="0" fontId="1" fillId="0" borderId="0" xfId="0" applyFont="1" applyAlignment="1">
      <alignment horizontal="center"/>
    </xf>
    <xf numFmtId="0" fontId="0" fillId="0" borderId="1" xfId="0" applyBorder="1" applyAlignment="1">
      <alignment wrapText="1"/>
    </xf>
    <xf numFmtId="0" fontId="0" fillId="3" borderId="0" xfId="0" applyFill="1"/>
    <xf numFmtId="0" fontId="2" fillId="0" borderId="0" xfId="0" applyFont="1"/>
    <xf numFmtId="0" fontId="2" fillId="2" borderId="0" xfId="0" applyFont="1" applyFill="1"/>
    <xf numFmtId="0" fontId="0" fillId="0" borderId="0" xfId="0" applyBorder="1"/>
    <xf numFmtId="0" fontId="3" fillId="3" borderId="0" xfId="0" applyFont="1" applyFill="1"/>
    <xf numFmtId="0" fontId="3" fillId="0" borderId="0" xfId="0" applyFont="1" applyFill="1"/>
    <xf numFmtId="0" fontId="0" fillId="0" borderId="0" xfId="0" applyFill="1"/>
    <xf numFmtId="0" fontId="0" fillId="4" borderId="0" xfId="0" applyFill="1"/>
    <xf numFmtId="0" fontId="3" fillId="0" borderId="1" xfId="0" applyFont="1" applyFill="1" applyBorder="1" applyAlignment="1">
      <alignment wrapText="1"/>
    </xf>
    <xf numFmtId="0" fontId="3" fillId="0" borderId="1" xfId="0" applyNumberFormat="1" applyFont="1" applyFill="1" applyBorder="1" applyAlignment="1">
      <alignment wrapText="1"/>
    </xf>
    <xf numFmtId="0" fontId="3" fillId="0" borderId="0" xfId="0" applyFont="1" applyFill="1" applyAlignment="1">
      <alignment horizontal="center"/>
    </xf>
    <xf numFmtId="0" fontId="3" fillId="0" borderId="1" xfId="0" quotePrefix="1" applyFont="1" applyFill="1" applyBorder="1" applyAlignment="1">
      <alignment horizontal="center"/>
    </xf>
    <xf numFmtId="11" fontId="3" fillId="0" borderId="1" xfId="0" applyNumberFormat="1" applyFont="1" applyFill="1" applyBorder="1" applyAlignment="1">
      <alignment horizontal="center"/>
    </xf>
    <xf numFmtId="0" fontId="0" fillId="0" borderId="0" xfId="0" applyAlignment="1">
      <alignment horizontal="center"/>
    </xf>
    <xf numFmtId="0" fontId="0" fillId="0" borderId="1" xfId="0" quotePrefix="1" applyBorder="1" applyAlignment="1">
      <alignment horizontal="center"/>
    </xf>
    <xf numFmtId="0" fontId="2" fillId="0" borderId="0" xfId="0" applyFont="1" applyFill="1"/>
    <xf numFmtId="9" fontId="3" fillId="0" borderId="1" xfId="0" applyNumberFormat="1" applyFont="1" applyFill="1" applyBorder="1" applyAlignment="1">
      <alignment horizontal="center"/>
    </xf>
    <xf numFmtId="0" fontId="3" fillId="0" borderId="0" xfId="0" applyFont="1" applyFill="1" applyAlignment="1">
      <alignment horizontal="center" wrapText="1"/>
    </xf>
    <xf numFmtId="0" fontId="3" fillId="0" borderId="1" xfId="0" applyFont="1" applyFill="1" applyBorder="1" applyAlignment="1">
      <alignment horizontal="center" wrapText="1"/>
    </xf>
    <xf numFmtId="0" fontId="0" fillId="0" borderId="1" xfId="0" applyBorder="1" applyAlignment="1">
      <alignment horizontal="center" wrapText="1"/>
    </xf>
    <xf numFmtId="0" fontId="0" fillId="0" borderId="0" xfId="0" applyAlignment="1">
      <alignment horizontal="center" wrapText="1"/>
    </xf>
    <xf numFmtId="0" fontId="9" fillId="0" borderId="0" xfId="0" applyFont="1" applyAlignment="1">
      <alignment wrapText="1"/>
    </xf>
    <xf numFmtId="0" fontId="9" fillId="0" borderId="0" xfId="0" applyFont="1"/>
    <xf numFmtId="0" fontId="10" fillId="0" borderId="0" xfId="0" applyFont="1" applyAlignment="1">
      <alignment wrapText="1"/>
    </xf>
    <xf numFmtId="0" fontId="10" fillId="0" borderId="0" xfId="0" applyFont="1"/>
    <xf numFmtId="0" fontId="11" fillId="0" borderId="0" xfId="0" applyFont="1" applyAlignment="1">
      <alignment wrapText="1"/>
    </xf>
    <xf numFmtId="0" fontId="12" fillId="0" borderId="0" xfId="0" applyFont="1"/>
    <xf numFmtId="0" fontId="13" fillId="0" borderId="0" xfId="0" applyFont="1" applyAlignment="1">
      <alignment horizontal="left" wrapText="1"/>
    </xf>
    <xf numFmtId="0" fontId="5" fillId="0" borderId="0" xfId="0" applyFont="1"/>
    <xf numFmtId="0" fontId="4" fillId="5" borderId="0" xfId="0" applyFont="1" applyFill="1" applyBorder="1" applyAlignment="1">
      <alignment horizontal="center" wrapText="1"/>
    </xf>
    <xf numFmtId="0" fontId="1" fillId="4" borderId="0" xfId="0" applyFont="1" applyFill="1" applyBorder="1"/>
    <xf numFmtId="0" fontId="0" fillId="4" borderId="3" xfId="0" applyFill="1" applyBorder="1" applyAlignment="1">
      <alignment horizontal="center"/>
    </xf>
    <xf numFmtId="0" fontId="0" fillId="4" borderId="0" xfId="0" applyFill="1" applyAlignment="1">
      <alignment horizontal="center"/>
    </xf>
    <xf numFmtId="0" fontId="7" fillId="4" borderId="0" xfId="0" applyFont="1" applyFill="1" applyBorder="1" applyAlignment="1">
      <alignment horizontal="center"/>
    </xf>
    <xf numFmtId="0" fontId="4" fillId="4" borderId="0" xfId="0" applyFont="1" applyFill="1" applyBorder="1" applyAlignment="1">
      <alignment horizontal="center" wrapText="1"/>
    </xf>
    <xf numFmtId="0" fontId="0" fillId="4" borderId="0" xfId="0" applyFill="1" applyBorder="1" applyAlignment="1">
      <alignment horizontal="center"/>
    </xf>
    <xf numFmtId="0" fontId="0" fillId="4" borderId="0" xfId="0" applyFill="1" applyBorder="1"/>
    <xf numFmtId="0" fontId="1" fillId="4" borderId="0" xfId="0" applyFont="1" applyFill="1" applyBorder="1" applyAlignment="1">
      <alignment horizontal="center" wrapText="1"/>
    </xf>
    <xf numFmtId="0" fontId="1" fillId="4" borderId="0" xfId="0" applyFont="1" applyFill="1" applyBorder="1" applyAlignment="1">
      <alignment horizontal="center"/>
    </xf>
    <xf numFmtId="0" fontId="15" fillId="4" borderId="5" xfId="0" applyFont="1" applyFill="1" applyBorder="1"/>
    <xf numFmtId="0" fontId="15" fillId="4" borderId="4" xfId="0" applyFont="1" applyFill="1" applyBorder="1"/>
    <xf numFmtId="0" fontId="0" fillId="4" borderId="4" xfId="0" applyFill="1" applyBorder="1"/>
    <xf numFmtId="0" fontId="0" fillId="4" borderId="6" xfId="0" applyFill="1" applyBorder="1"/>
    <xf numFmtId="0" fontId="1" fillId="4" borderId="7" xfId="0" applyFont="1" applyFill="1" applyBorder="1"/>
    <xf numFmtId="0" fontId="0" fillId="4" borderId="8" xfId="0" applyFill="1" applyBorder="1"/>
    <xf numFmtId="0" fontId="7" fillId="4" borderId="7" xfId="0" applyFont="1" applyFill="1" applyBorder="1" applyAlignment="1">
      <alignment horizontal="center"/>
    </xf>
    <xf numFmtId="0" fontId="4" fillId="4" borderId="7" xfId="0" applyFont="1" applyFill="1" applyBorder="1" applyAlignment="1">
      <alignment horizontal="center" wrapText="1"/>
    </xf>
    <xf numFmtId="0" fontId="0" fillId="4" borderId="7" xfId="0" applyFill="1" applyBorder="1"/>
    <xf numFmtId="0" fontId="0" fillId="4" borderId="8" xfId="0" applyFill="1" applyBorder="1" applyAlignment="1">
      <alignment horizontal="center" wrapText="1"/>
    </xf>
    <xf numFmtId="0" fontId="1" fillId="4" borderId="9" xfId="0" applyFont="1" applyFill="1" applyBorder="1" applyAlignment="1">
      <alignment horizontal="center"/>
    </xf>
    <xf numFmtId="0" fontId="1" fillId="4" borderId="10" xfId="0" applyFont="1" applyFill="1" applyBorder="1" applyAlignment="1">
      <alignment horizontal="center"/>
    </xf>
    <xf numFmtId="0" fontId="0" fillId="4" borderId="10" xfId="0" applyFill="1" applyBorder="1"/>
    <xf numFmtId="0" fontId="0" fillId="4" borderId="11" xfId="0" applyFill="1" applyBorder="1"/>
    <xf numFmtId="0" fontId="3" fillId="0" borderId="0" xfId="0" applyFont="1" applyAlignment="1">
      <alignment horizontal="center"/>
    </xf>
    <xf numFmtId="0" fontId="3" fillId="0" borderId="1" xfId="0" applyFont="1" applyBorder="1" applyAlignment="1">
      <alignment horizontal="center"/>
    </xf>
    <xf numFmtId="2" fontId="3" fillId="0" borderId="1" xfId="0" applyNumberFormat="1" applyFont="1" applyFill="1" applyBorder="1" applyAlignment="1">
      <alignment horizontal="center"/>
    </xf>
    <xf numFmtId="2" fontId="3" fillId="0" borderId="0" xfId="0" applyNumberFormat="1" applyFont="1" applyFill="1" applyAlignment="1">
      <alignment horizontal="center"/>
    </xf>
    <xf numFmtId="2" fontId="0" fillId="0" borderId="1" xfId="0" applyNumberFormat="1" applyBorder="1" applyAlignment="1">
      <alignment horizontal="center"/>
    </xf>
    <xf numFmtId="2" fontId="0" fillId="0" borderId="0" xfId="0" applyNumberFormat="1" applyAlignment="1">
      <alignment horizontal="center"/>
    </xf>
    <xf numFmtId="0" fontId="3" fillId="0" borderId="0" xfId="0" applyFont="1" applyFill="1" applyBorder="1" applyAlignment="1">
      <alignment wrapText="1"/>
    </xf>
    <xf numFmtId="0" fontId="0" fillId="0" borderId="0" xfId="0" applyBorder="1" applyAlignment="1">
      <alignment wrapText="1"/>
    </xf>
    <xf numFmtId="0" fontId="0" fillId="0" borderId="1" xfId="0" applyBorder="1"/>
    <xf numFmtId="0" fontId="3" fillId="0" borderId="0" xfId="0" applyFont="1" applyFill="1" applyAlignment="1">
      <alignment horizontal="center"/>
    </xf>
    <xf numFmtId="0" fontId="3" fillId="0" borderId="1" xfId="0" applyFont="1" applyFill="1" applyBorder="1" applyAlignment="1">
      <alignment horizontal="center"/>
    </xf>
    <xf numFmtId="0" fontId="0" fillId="0" borderId="0" xfId="0" applyAlignment="1">
      <alignment horizontal="center"/>
    </xf>
    <xf numFmtId="0" fontId="0" fillId="0" borderId="1" xfId="0" applyBorder="1" applyAlignment="1">
      <alignment horizontal="center"/>
    </xf>
    <xf numFmtId="0" fontId="3" fillId="0" borderId="2" xfId="0" applyFont="1" applyFill="1" applyBorder="1" applyAlignment="1">
      <alignment horizontal="center"/>
    </xf>
    <xf numFmtId="164" fontId="0" fillId="0" borderId="0" xfId="0" applyNumberFormat="1"/>
    <xf numFmtId="164" fontId="0" fillId="0" borderId="1" xfId="0" applyNumberFormat="1" applyBorder="1" applyAlignment="1">
      <alignment horizontal="center"/>
    </xf>
    <xf numFmtId="0" fontId="0" fillId="0" borderId="12" xfId="0" applyBorder="1" applyAlignment="1">
      <alignment horizontal="center"/>
    </xf>
    <xf numFmtId="164" fontId="0" fillId="0" borderId="12" xfId="0" applyNumberFormat="1" applyBorder="1" applyAlignment="1">
      <alignment horizontal="center"/>
    </xf>
    <xf numFmtId="0" fontId="3" fillId="0" borderId="0" xfId="0" applyFont="1" applyFill="1" applyBorder="1" applyAlignment="1">
      <alignment horizontal="center"/>
    </xf>
    <xf numFmtId="0" fontId="4" fillId="4" borderId="0" xfId="0" applyFont="1" applyFill="1" applyBorder="1" applyAlignment="1">
      <alignment horizontal="center" vertical="center" wrapText="1"/>
    </xf>
    <xf numFmtId="0" fontId="0" fillId="4" borderId="0" xfId="0" applyFill="1" applyBorder="1" applyAlignment="1">
      <alignment horizontal="left"/>
    </xf>
    <xf numFmtId="0" fontId="0" fillId="4" borderId="0" xfId="0" applyFill="1" applyBorder="1" applyAlignment="1">
      <alignment horizontal="left" wrapText="1"/>
    </xf>
    <xf numFmtId="0" fontId="10" fillId="0" borderId="0" xfId="0" applyFont="1" applyFill="1"/>
    <xf numFmtId="0" fontId="0" fillId="4" borderId="7" xfId="0" applyFill="1" applyBorder="1" applyAlignment="1">
      <alignment horizontal="center"/>
    </xf>
    <xf numFmtId="0" fontId="0" fillId="4" borderId="9" xfId="0" applyFill="1" applyBorder="1" applyAlignment="1">
      <alignment horizontal="center"/>
    </xf>
    <xf numFmtId="0" fontId="4" fillId="4" borderId="7" xfId="0" applyFont="1" applyFill="1" applyBorder="1" applyAlignment="1">
      <alignment horizontal="center" vertical="center" wrapText="1"/>
    </xf>
    <xf numFmtId="0" fontId="1" fillId="0" borderId="0" xfId="0" applyFont="1" applyFill="1" applyAlignment="1">
      <alignment horizontal="center"/>
    </xf>
    <xf numFmtId="0" fontId="1" fillId="4" borderId="0" xfId="0" applyFont="1" applyFill="1"/>
    <xf numFmtId="0" fontId="1" fillId="4" borderId="0" xfId="0" quotePrefix="1" applyFont="1" applyFill="1" applyBorder="1"/>
    <xf numFmtId="0" fontId="3" fillId="0" borderId="13" xfId="0" quotePrefix="1" applyFont="1" applyFill="1" applyBorder="1" applyAlignment="1">
      <alignment horizontal="center"/>
    </xf>
    <xf numFmtId="0" fontId="3" fillId="0" borderId="14" xfId="0" applyFont="1" applyFill="1" applyBorder="1" applyAlignment="1">
      <alignment horizontal="center"/>
    </xf>
    <xf numFmtId="0" fontId="3" fillId="0" borderId="14"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5" xfId="0" applyBorder="1" applyAlignment="1">
      <alignment horizontal="center" wrapText="1"/>
    </xf>
    <xf numFmtId="2" fontId="0" fillId="0" borderId="15" xfId="0" applyNumberFormat="1" applyBorder="1" applyAlignment="1">
      <alignment horizontal="center"/>
    </xf>
    <xf numFmtId="0" fontId="3" fillId="0" borderId="15" xfId="0" applyFont="1" applyBorder="1" applyAlignment="1">
      <alignment horizontal="center"/>
    </xf>
    <xf numFmtId="0" fontId="9" fillId="0" borderId="0" xfId="0" applyFont="1" applyAlignment="1">
      <alignment horizontal="left"/>
    </xf>
    <xf numFmtId="0" fontId="0" fillId="0" borderId="1" xfId="0" applyFill="1" applyBorder="1"/>
    <xf numFmtId="0" fontId="0" fillId="0" borderId="1" xfId="0" applyFont="1" applyBorder="1"/>
    <xf numFmtId="0" fontId="0" fillId="0" borderId="1" xfId="0" applyFont="1" applyFill="1" applyBorder="1"/>
    <xf numFmtId="0" fontId="0" fillId="0" borderId="1" xfId="0" applyFill="1" applyBorder="1" applyAlignment="1">
      <alignment horizontal="center"/>
    </xf>
    <xf numFmtId="0" fontId="4" fillId="0" borderId="0" xfId="0" applyFont="1" applyAlignment="1">
      <alignment horizontal="center"/>
    </xf>
    <xf numFmtId="164" fontId="3" fillId="0" borderId="0" xfId="0" applyNumberFormat="1" applyFont="1" applyFill="1" applyAlignment="1">
      <alignment horizontal="center"/>
    </xf>
    <xf numFmtId="164" fontId="3" fillId="0" borderId="1" xfId="0" applyNumberFormat="1" applyFont="1" applyFill="1" applyBorder="1" applyAlignment="1">
      <alignment horizontal="center"/>
    </xf>
    <xf numFmtId="164" fontId="0" fillId="0" borderId="15" xfId="0" applyNumberFormat="1" applyBorder="1" applyAlignment="1">
      <alignment horizontal="center"/>
    </xf>
    <xf numFmtId="164" fontId="0" fillId="0" borderId="0" xfId="0" applyNumberFormat="1" applyAlignment="1">
      <alignment horizontal="center"/>
    </xf>
    <xf numFmtId="0" fontId="0" fillId="0" borderId="0" xfId="0" applyBorder="1" applyAlignment="1">
      <alignment horizontal="center"/>
    </xf>
    <xf numFmtId="0" fontId="4" fillId="4" borderId="7" xfId="0" applyFont="1" applyFill="1" applyBorder="1" applyAlignment="1">
      <alignment horizontal="center" wrapText="1"/>
    </xf>
    <xf numFmtId="0" fontId="22" fillId="0" borderId="0" xfId="0" applyFont="1" applyAlignment="1">
      <alignment vertical="top" wrapText="1"/>
    </xf>
    <xf numFmtId="0" fontId="3" fillId="0" borderId="15" xfId="0" applyFont="1" applyFill="1" applyBorder="1" applyAlignment="1">
      <alignment horizontal="center"/>
    </xf>
    <xf numFmtId="0" fontId="0" fillId="0" borderId="1" xfId="0" applyNumberFormat="1" applyBorder="1" applyAlignment="1">
      <alignment wrapText="1"/>
    </xf>
    <xf numFmtId="0" fontId="3" fillId="0" borderId="20" xfId="0" applyFont="1" applyFill="1" applyBorder="1" applyAlignment="1">
      <alignment wrapText="1"/>
    </xf>
    <xf numFmtId="0" fontId="3" fillId="0" borderId="20" xfId="0" applyFont="1" applyFill="1" applyBorder="1" applyAlignment="1">
      <alignment horizontal="center"/>
    </xf>
    <xf numFmtId="0" fontId="3" fillId="0" borderId="20" xfId="0" quotePrefix="1" applyFont="1" applyFill="1" applyBorder="1" applyAlignment="1">
      <alignment horizontal="center"/>
    </xf>
    <xf numFmtId="0" fontId="3" fillId="0" borderId="20" xfId="0" applyFont="1" applyFill="1" applyBorder="1" applyAlignment="1">
      <alignment horizontal="center" wrapText="1"/>
    </xf>
    <xf numFmtId="164" fontId="3" fillId="0" borderId="20" xfId="0" applyNumberFormat="1" applyFont="1" applyFill="1" applyBorder="1" applyAlignment="1">
      <alignment horizontal="center"/>
    </xf>
    <xf numFmtId="2" fontId="3" fillId="0" borderId="20" xfId="0" applyNumberFormat="1" applyFont="1" applyFill="1" applyBorder="1" applyAlignment="1">
      <alignment horizontal="center"/>
    </xf>
    <xf numFmtId="0" fontId="3" fillId="0" borderId="21" xfId="0" applyFont="1" applyFill="1" applyBorder="1" applyAlignment="1">
      <alignment horizontal="center"/>
    </xf>
    <xf numFmtId="0" fontId="0" fillId="0" borderId="15" xfId="0" applyBorder="1" applyAlignment="1">
      <alignment wrapText="1"/>
    </xf>
    <xf numFmtId="0" fontId="3" fillId="0" borderId="16" xfId="0" applyFont="1" applyFill="1" applyBorder="1" applyAlignment="1">
      <alignment horizontal="center"/>
    </xf>
    <xf numFmtId="0" fontId="3" fillId="5" borderId="1" xfId="0" applyFont="1" applyFill="1" applyBorder="1" applyAlignment="1">
      <alignment wrapText="1"/>
    </xf>
    <xf numFmtId="0" fontId="3" fillId="5" borderId="1" xfId="0" applyFont="1" applyFill="1" applyBorder="1" applyAlignment="1">
      <alignment horizontal="center"/>
    </xf>
    <xf numFmtId="0" fontId="3" fillId="5" borderId="1" xfId="0" applyFont="1" applyFill="1" applyBorder="1" applyAlignment="1">
      <alignment horizontal="center" wrapText="1"/>
    </xf>
    <xf numFmtId="164" fontId="3" fillId="5" borderId="1" xfId="0" applyNumberFormat="1" applyFont="1" applyFill="1" applyBorder="1" applyAlignment="1">
      <alignment horizontal="center"/>
    </xf>
    <xf numFmtId="2" fontId="3" fillId="5" borderId="1" xfId="0" applyNumberFormat="1" applyFont="1" applyFill="1" applyBorder="1" applyAlignment="1">
      <alignment horizontal="center"/>
    </xf>
    <xf numFmtId="0" fontId="3" fillId="5" borderId="1" xfId="0" quotePrefix="1" applyFont="1" applyFill="1" applyBorder="1" applyAlignment="1">
      <alignment horizontal="center"/>
    </xf>
    <xf numFmtId="0" fontId="3" fillId="5" borderId="14" xfId="0" applyFont="1" applyFill="1" applyBorder="1" applyAlignment="1">
      <alignment horizontal="center"/>
    </xf>
    <xf numFmtId="11" fontId="3" fillId="5" borderId="1" xfId="0" applyNumberFormat="1" applyFont="1" applyFill="1" applyBorder="1" applyAlignment="1">
      <alignment horizontal="center"/>
    </xf>
    <xf numFmtId="9" fontId="3" fillId="5" borderId="1" xfId="0" applyNumberFormat="1" applyFont="1" applyFill="1" applyBorder="1" applyAlignment="1">
      <alignment horizontal="center"/>
    </xf>
    <xf numFmtId="0" fontId="4" fillId="6" borderId="17" xfId="0" applyFont="1" applyFill="1" applyBorder="1" applyAlignment="1">
      <alignment horizontal="center"/>
    </xf>
    <xf numFmtId="0" fontId="4" fillId="6" borderId="18" xfId="0" applyFont="1" applyFill="1" applyBorder="1" applyAlignment="1">
      <alignment horizontal="center" wrapText="1"/>
    </xf>
    <xf numFmtId="2" fontId="4" fillId="6" borderId="18" xfId="0" applyNumberFormat="1" applyFont="1" applyFill="1" applyBorder="1" applyAlignment="1">
      <alignment horizontal="center" wrapText="1"/>
    </xf>
    <xf numFmtId="164" fontId="4" fillId="6" borderId="18" xfId="0" applyNumberFormat="1" applyFont="1" applyFill="1" applyBorder="1" applyAlignment="1">
      <alignment horizontal="center" wrapText="1"/>
    </xf>
    <xf numFmtId="0" fontId="4" fillId="6" borderId="18" xfId="0" applyFont="1" applyFill="1" applyBorder="1" applyAlignment="1">
      <alignment horizontal="center"/>
    </xf>
    <xf numFmtId="0" fontId="4" fillId="6" borderId="19" xfId="0" applyFont="1" applyFill="1" applyBorder="1" applyAlignment="1">
      <alignment horizontal="center" wrapText="1"/>
    </xf>
    <xf numFmtId="0" fontId="3" fillId="5" borderId="1" xfId="0" applyNumberFormat="1" applyFont="1" applyFill="1" applyBorder="1" applyAlignment="1">
      <alignment wrapText="1"/>
    </xf>
    <xf numFmtId="2" fontId="0" fillId="0" borderId="12" xfId="0" applyNumberFormat="1" applyBorder="1" applyAlignment="1">
      <alignment horizontal="center"/>
    </xf>
    <xf numFmtId="0" fontId="0" fillId="5" borderId="1" xfId="0" applyFill="1" applyBorder="1" applyAlignment="1">
      <alignment wrapText="1"/>
    </xf>
    <xf numFmtId="0" fontId="0" fillId="5" borderId="1" xfId="0" applyFill="1" applyBorder="1" applyAlignment="1">
      <alignment horizontal="center"/>
    </xf>
    <xf numFmtId="0" fontId="0" fillId="5" borderId="1" xfId="0" applyFill="1" applyBorder="1" applyAlignment="1">
      <alignment horizontal="center" wrapText="1"/>
    </xf>
    <xf numFmtId="164" fontId="0" fillId="5" borderId="1" xfId="0" applyNumberFormat="1" applyFill="1" applyBorder="1" applyAlignment="1">
      <alignment horizontal="center"/>
    </xf>
    <xf numFmtId="2" fontId="0" fillId="5" borderId="1" xfId="0" applyNumberFormat="1" applyFill="1" applyBorder="1" applyAlignment="1">
      <alignment horizontal="center"/>
    </xf>
    <xf numFmtId="0" fontId="0" fillId="5" borderId="1" xfId="0" quotePrefix="1" applyFill="1" applyBorder="1" applyAlignment="1">
      <alignment horizontal="center"/>
    </xf>
    <xf numFmtId="0" fontId="0" fillId="0" borderId="12" xfId="0" applyBorder="1" applyAlignment="1">
      <alignment wrapText="1"/>
    </xf>
    <xf numFmtId="0" fontId="0" fillId="0" borderId="12" xfId="0" applyBorder="1" applyAlignment="1">
      <alignment horizontal="center" wrapText="1"/>
    </xf>
    <xf numFmtId="0" fontId="3" fillId="0" borderId="12" xfId="0" applyFont="1" applyFill="1" applyBorder="1" applyAlignment="1">
      <alignment horizontal="center"/>
    </xf>
    <xf numFmtId="0" fontId="3" fillId="0" borderId="12" xfId="0" applyFont="1" applyBorder="1" applyAlignment="1">
      <alignment horizontal="center"/>
    </xf>
    <xf numFmtId="0" fontId="3" fillId="0" borderId="22" xfId="0" applyFont="1" applyFill="1" applyBorder="1" applyAlignment="1">
      <alignment horizontal="center"/>
    </xf>
    <xf numFmtId="11" fontId="3" fillId="0" borderId="1" xfId="0" applyNumberFormat="1" applyFont="1" applyBorder="1" applyAlignment="1">
      <alignment horizontal="center"/>
    </xf>
    <xf numFmtId="11" fontId="3" fillId="5" borderId="1" xfId="0" applyNumberFormat="1" applyFont="1" applyFill="1" applyBorder="1" applyAlignment="1">
      <alignment horizontal="center" wrapText="1"/>
    </xf>
    <xf numFmtId="165" fontId="3" fillId="0" borderId="0" xfId="0" applyNumberFormat="1" applyFont="1" applyFill="1" applyAlignment="1">
      <alignment horizontal="center" wrapText="1"/>
    </xf>
    <xf numFmtId="165" fontId="4" fillId="6" borderId="18" xfId="0" applyNumberFormat="1" applyFont="1" applyFill="1" applyBorder="1" applyAlignment="1">
      <alignment horizontal="center" wrapText="1"/>
    </xf>
    <xf numFmtId="165" fontId="3" fillId="0" borderId="20" xfId="0" applyNumberFormat="1" applyFont="1" applyFill="1" applyBorder="1" applyAlignment="1">
      <alignment horizontal="center" wrapText="1"/>
    </xf>
    <xf numFmtId="165" fontId="3" fillId="5" borderId="1" xfId="0" applyNumberFormat="1" applyFont="1" applyFill="1" applyBorder="1" applyAlignment="1">
      <alignment horizontal="center" wrapText="1"/>
    </xf>
    <xf numFmtId="165" fontId="3" fillId="0" borderId="1" xfId="0" applyNumberFormat="1" applyFont="1" applyFill="1" applyBorder="1" applyAlignment="1">
      <alignment horizontal="center" wrapText="1"/>
    </xf>
    <xf numFmtId="165" fontId="0" fillId="0" borderId="1" xfId="0" applyNumberFormat="1" applyBorder="1" applyAlignment="1">
      <alignment horizontal="center" wrapText="1"/>
    </xf>
    <xf numFmtId="165" fontId="3" fillId="0" borderId="1" xfId="0" applyNumberFormat="1" applyFont="1" applyFill="1" applyBorder="1" applyAlignment="1">
      <alignment horizontal="center"/>
    </xf>
    <xf numFmtId="165" fontId="0" fillId="5" borderId="1" xfId="0" applyNumberFormat="1" applyFill="1" applyBorder="1" applyAlignment="1">
      <alignment horizontal="center" wrapText="1"/>
    </xf>
    <xf numFmtId="165" fontId="0" fillId="0" borderId="12" xfId="0" applyNumberFormat="1" applyBorder="1" applyAlignment="1">
      <alignment horizontal="center" wrapText="1"/>
    </xf>
    <xf numFmtId="165" fontId="0" fillId="0" borderId="15" xfId="0" applyNumberFormat="1" applyBorder="1" applyAlignment="1">
      <alignment horizontal="center" wrapText="1"/>
    </xf>
    <xf numFmtId="165" fontId="0" fillId="0" borderId="0" xfId="0" applyNumberFormat="1" applyAlignment="1">
      <alignment horizontal="center" wrapText="1"/>
    </xf>
    <xf numFmtId="0" fontId="0" fillId="0" borderId="12" xfId="0" applyFill="1" applyBorder="1" applyAlignment="1">
      <alignment wrapText="1"/>
    </xf>
    <xf numFmtId="0" fontId="0" fillId="0" borderId="12" xfId="0" applyFill="1" applyBorder="1" applyAlignment="1">
      <alignment horizontal="center"/>
    </xf>
    <xf numFmtId="0" fontId="0" fillId="0" borderId="12" xfId="0" quotePrefix="1" applyFill="1" applyBorder="1" applyAlignment="1">
      <alignment horizontal="center"/>
    </xf>
    <xf numFmtId="0" fontId="0" fillId="0" borderId="12" xfId="0" applyFill="1" applyBorder="1" applyAlignment="1">
      <alignment horizontal="center" wrapText="1"/>
    </xf>
    <xf numFmtId="165" fontId="0" fillId="0" borderId="12" xfId="0" applyNumberFormat="1" applyFill="1" applyBorder="1" applyAlignment="1">
      <alignment horizontal="center" wrapText="1"/>
    </xf>
    <xf numFmtId="164" fontId="0" fillId="0" borderId="12" xfId="0" applyNumberFormat="1" applyFill="1" applyBorder="1" applyAlignment="1">
      <alignment horizontal="center"/>
    </xf>
    <xf numFmtId="2" fontId="0" fillId="0" borderId="12" xfId="0" applyNumberFormat="1" applyFill="1" applyBorder="1" applyAlignment="1">
      <alignment horizontal="center"/>
    </xf>
    <xf numFmtId="164" fontId="3" fillId="0" borderId="0" xfId="0" applyNumberFormat="1" applyFont="1" applyFill="1" applyBorder="1" applyAlignment="1">
      <alignment horizontal="center"/>
    </xf>
    <xf numFmtId="0" fontId="0" fillId="0" borderId="23" xfId="0" applyBorder="1" applyAlignment="1">
      <alignment horizontal="center"/>
    </xf>
    <xf numFmtId="3" fontId="0" fillId="0" borderId="1" xfId="0" applyNumberFormat="1" applyBorder="1" applyAlignment="1">
      <alignment horizontal="center"/>
    </xf>
    <xf numFmtId="165" fontId="0" fillId="0" borderId="1" xfId="0" quotePrefix="1" applyNumberFormat="1" applyBorder="1" applyAlignment="1">
      <alignment horizontal="center" wrapText="1"/>
    </xf>
    <xf numFmtId="164" fontId="0" fillId="0" borderId="1" xfId="0" quotePrefix="1" applyNumberFormat="1" applyBorder="1" applyAlignment="1">
      <alignment horizontal="center"/>
    </xf>
    <xf numFmtId="2" fontId="0" fillId="0" borderId="1" xfId="0" quotePrefix="1" applyNumberFormat="1" applyBorder="1" applyAlignment="1">
      <alignment horizontal="center"/>
    </xf>
    <xf numFmtId="0" fontId="0" fillId="0" borderId="1" xfId="0" quotePrefix="1" applyBorder="1"/>
    <xf numFmtId="0" fontId="3" fillId="0" borderId="0" xfId="0" quotePrefix="1" applyFont="1" applyFill="1" applyBorder="1" applyAlignment="1">
      <alignment horizontal="center"/>
    </xf>
    <xf numFmtId="0" fontId="0" fillId="0" borderId="0" xfId="0" applyBorder="1" applyAlignment="1">
      <alignment horizontal="center" wrapText="1"/>
    </xf>
    <xf numFmtId="165" fontId="0" fillId="0" borderId="0" xfId="0" applyNumberFormat="1" applyBorder="1" applyAlignment="1">
      <alignment horizontal="center" wrapText="1"/>
    </xf>
    <xf numFmtId="164" fontId="0" fillId="0" borderId="0" xfId="0" applyNumberFormat="1" applyBorder="1" applyAlignment="1">
      <alignment horizontal="center"/>
    </xf>
    <xf numFmtId="2" fontId="0" fillId="0" borderId="0" xfId="0" applyNumberFormat="1" applyBorder="1" applyAlignment="1">
      <alignment horizontal="center"/>
    </xf>
    <xf numFmtId="0" fontId="3" fillId="0" borderId="0" xfId="0" applyFont="1" applyBorder="1" applyAlignment="1">
      <alignment horizontal="center"/>
    </xf>
    <xf numFmtId="0" fontId="3" fillId="0" borderId="24" xfId="0" quotePrefix="1" applyFont="1" applyFill="1" applyBorder="1" applyAlignment="1">
      <alignment horizontal="center"/>
    </xf>
    <xf numFmtId="0" fontId="3" fillId="0" borderId="25" xfId="0" quotePrefix="1" applyFont="1" applyFill="1" applyBorder="1" applyAlignment="1">
      <alignment horizontal="center"/>
    </xf>
    <xf numFmtId="164" fontId="0" fillId="0" borderId="1" xfId="0" applyNumberFormat="1" applyBorder="1"/>
    <xf numFmtId="0" fontId="0" fillId="0" borderId="0" xfId="0" applyFill="1" applyBorder="1" applyAlignment="1">
      <alignment horizontal="center"/>
    </xf>
    <xf numFmtId="0" fontId="0" fillId="4" borderId="0" xfId="0" applyFill="1" applyBorder="1" applyAlignment="1">
      <alignment horizontal="left" wrapText="1"/>
    </xf>
    <xf numFmtId="0" fontId="4" fillId="4" borderId="0"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0" fillId="4" borderId="0" xfId="0" applyFill="1" applyBorder="1" applyAlignment="1">
      <alignment horizontal="left" vertical="center"/>
    </xf>
    <xf numFmtId="0" fontId="3" fillId="0" borderId="0" xfId="0" applyFont="1" applyFill="1" applyBorder="1" applyAlignment="1">
      <alignment horizontal="left" wrapText="1"/>
    </xf>
    <xf numFmtId="0" fontId="4" fillId="4" borderId="7" xfId="0" applyFont="1" applyFill="1" applyBorder="1" applyAlignment="1">
      <alignment horizontal="center" wrapText="1"/>
    </xf>
    <xf numFmtId="0" fontId="19" fillId="0" borderId="0" xfId="0" applyFont="1" applyFill="1" applyAlignment="1">
      <alignment horizontal="left" wrapText="1"/>
    </xf>
    <xf numFmtId="0" fontId="22" fillId="0" borderId="0" xfId="0" applyFont="1" applyAlignment="1">
      <alignment horizontal="left" vertical="top" wrapText="1"/>
    </xf>
    <xf numFmtId="0" fontId="22" fillId="0" borderId="0" xfId="0" applyFont="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600" b="1" i="0" u="none" strike="noStrike" kern="1200" spc="0" baseline="0">
                <a:solidFill>
                  <a:schemeClr val="tx1">
                    <a:lumMod val="65000"/>
                    <a:lumOff val="35000"/>
                  </a:schemeClr>
                </a:solidFill>
                <a:latin typeface="+mn-lt"/>
                <a:ea typeface="+mn-ea"/>
                <a:cs typeface="+mn-cs"/>
              </a:defRPr>
            </a:pPr>
            <a:r>
              <a:rPr lang="en-SG" sz="1600" b="1"/>
              <a:t>Area per bit</a:t>
            </a:r>
          </a:p>
        </c:rich>
      </c:tx>
      <c:overlay val="0"/>
      <c:spPr>
        <a:noFill/>
        <a:ln>
          <a:noFill/>
        </a:ln>
        <a:effectLst/>
      </c:spPr>
    </c:title>
    <c:autoTitleDeleted val="0"/>
    <c:plotArea>
      <c:layout/>
      <c:scatterChart>
        <c:scatterStyle val="lineMarker"/>
        <c:varyColors val="0"/>
        <c:ser>
          <c:idx val="0"/>
          <c:order val="0"/>
          <c:tx>
            <c:strRef>
              <c:f>Data!$M$1</c:f>
              <c:strCache>
                <c:ptCount val="1"/>
                <c:pt idx="0">
                  <c:v>Analog</c:v>
                </c:pt>
              </c:strCache>
            </c:strRef>
          </c:tx>
          <c:spPr>
            <a:ln w="25400" cap="rnd">
              <a:noFill/>
              <a:round/>
            </a:ln>
            <a:effectLst/>
          </c:spPr>
          <c:marker>
            <c:symbol val="circle"/>
            <c:size val="7"/>
            <c:spPr>
              <a:noFill/>
              <a:ln w="9525">
                <a:solidFill>
                  <a:schemeClr val="accent1"/>
                </a:solidFill>
              </a:ln>
              <a:effectLst/>
            </c:spPr>
          </c:marker>
          <c:xVal>
            <c:numRef>
              <c:f>Data!$L$2:$L$54</c:f>
              <c:numCache>
                <c:formatCode>General</c:formatCode>
                <c:ptCount val="53"/>
                <c:pt idx="0">
                  <c:v>2000</c:v>
                </c:pt>
                <c:pt idx="1">
                  <c:v>2004</c:v>
                </c:pt>
                <c:pt idx="2">
                  <c:v>2005</c:v>
                </c:pt>
                <c:pt idx="3">
                  <c:v>2007</c:v>
                </c:pt>
                <c:pt idx="4">
                  <c:v>2008</c:v>
                </c:pt>
                <c:pt idx="5">
                  <c:v>2008</c:v>
                </c:pt>
                <c:pt idx="6">
                  <c:v>2008</c:v>
                </c:pt>
                <c:pt idx="7">
                  <c:v>2009</c:v>
                </c:pt>
                <c:pt idx="8">
                  <c:v>2010</c:v>
                </c:pt>
                <c:pt idx="9">
                  <c:v>2011</c:v>
                </c:pt>
                <c:pt idx="10">
                  <c:v>2011</c:v>
                </c:pt>
                <c:pt idx="11">
                  <c:v>2011</c:v>
                </c:pt>
                <c:pt idx="12">
                  <c:v>2012</c:v>
                </c:pt>
                <c:pt idx="13">
                  <c:v>2012</c:v>
                </c:pt>
                <c:pt idx="14">
                  <c:v>2012</c:v>
                </c:pt>
                <c:pt idx="15">
                  <c:v>2012</c:v>
                </c:pt>
                <c:pt idx="16">
                  <c:v>2012</c:v>
                </c:pt>
                <c:pt idx="17">
                  <c:v>2012</c:v>
                </c:pt>
                <c:pt idx="18">
                  <c:v>2012</c:v>
                </c:pt>
                <c:pt idx="19">
                  <c:v>2012</c:v>
                </c:pt>
                <c:pt idx="20">
                  <c:v>2013</c:v>
                </c:pt>
                <c:pt idx="21">
                  <c:v>2014</c:v>
                </c:pt>
                <c:pt idx="22">
                  <c:v>2014</c:v>
                </c:pt>
                <c:pt idx="23">
                  <c:v>2014</c:v>
                </c:pt>
                <c:pt idx="24">
                  <c:v>2014</c:v>
                </c:pt>
                <c:pt idx="25">
                  <c:v>2015</c:v>
                </c:pt>
                <c:pt idx="26">
                  <c:v>2015</c:v>
                </c:pt>
                <c:pt idx="27">
                  <c:v>2015</c:v>
                </c:pt>
                <c:pt idx="28">
                  <c:v>2015</c:v>
                </c:pt>
                <c:pt idx="29">
                  <c:v>2016</c:v>
                </c:pt>
                <c:pt idx="30">
                  <c:v>2016</c:v>
                </c:pt>
                <c:pt idx="31">
                  <c:v>2016</c:v>
                </c:pt>
                <c:pt idx="32">
                  <c:v>2016</c:v>
                </c:pt>
                <c:pt idx="33">
                  <c:v>2016</c:v>
                </c:pt>
                <c:pt idx="34">
                  <c:v>2016</c:v>
                </c:pt>
                <c:pt idx="35">
                  <c:v>2016</c:v>
                </c:pt>
                <c:pt idx="36">
                  <c:v>2017</c:v>
                </c:pt>
                <c:pt idx="37">
                  <c:v>2017</c:v>
                </c:pt>
                <c:pt idx="38">
                  <c:v>2017</c:v>
                </c:pt>
                <c:pt idx="39">
                  <c:v>2017</c:v>
                </c:pt>
                <c:pt idx="40">
                  <c:v>2017</c:v>
                </c:pt>
                <c:pt idx="41">
                  <c:v>2017</c:v>
                </c:pt>
                <c:pt idx="42">
                  <c:v>2017</c:v>
                </c:pt>
                <c:pt idx="43">
                  <c:v>2017</c:v>
                </c:pt>
                <c:pt idx="44">
                  <c:v>2017</c:v>
                </c:pt>
                <c:pt idx="45">
                  <c:v>2018</c:v>
                </c:pt>
                <c:pt idx="46">
                  <c:v>2018</c:v>
                </c:pt>
                <c:pt idx="47">
                  <c:v>2018</c:v>
                </c:pt>
                <c:pt idx="48">
                  <c:v>2018</c:v>
                </c:pt>
                <c:pt idx="49">
                  <c:v>2018</c:v>
                </c:pt>
                <c:pt idx="50">
                  <c:v>2018</c:v>
                </c:pt>
                <c:pt idx="51">
                  <c:v>2018</c:v>
                </c:pt>
                <c:pt idx="52">
                  <c:v>2018</c:v>
                </c:pt>
              </c:numCache>
            </c:numRef>
          </c:xVal>
          <c:yVal>
            <c:numRef>
              <c:f>Data!$M$2:$M$54</c:f>
              <c:numCache>
                <c:formatCode>0.00</c:formatCode>
                <c:ptCount val="53"/>
                <c:pt idx="0">
                  <c:v>1708.1632653061226</c:v>
                </c:pt>
                <c:pt idx="6">
                  <c:v>4340.2777777777783</c:v>
                </c:pt>
                <c:pt idx="7">
                  <c:v>1055.8328510802469</c:v>
                </c:pt>
                <c:pt idx="8">
                  <c:v>710.05917159763305</c:v>
                </c:pt>
                <c:pt idx="10">
                  <c:v>1055.8328510802469</c:v>
                </c:pt>
                <c:pt idx="21">
                  <c:v>560.5122041420118</c:v>
                </c:pt>
                <c:pt idx="24">
                  <c:v>1052794.1645408163</c:v>
                </c:pt>
                <c:pt idx="26">
                  <c:v>726.62721893491107</c:v>
                </c:pt>
                <c:pt idx="27">
                  <c:v>11574.074074074075</c:v>
                </c:pt>
                <c:pt idx="29">
                  <c:v>2613.3333333333335</c:v>
                </c:pt>
                <c:pt idx="33">
                  <c:v>726.62721893491107</c:v>
                </c:pt>
                <c:pt idx="39">
                  <c:v>150</c:v>
                </c:pt>
                <c:pt idx="40">
                  <c:v>6500</c:v>
                </c:pt>
                <c:pt idx="41">
                  <c:v>6500</c:v>
                </c:pt>
                <c:pt idx="45">
                  <c:v>218.18181818181819</c:v>
                </c:pt>
                <c:pt idx="46">
                  <c:v>600</c:v>
                </c:pt>
                <c:pt idx="47" formatCode="0.0000">
                  <c:v>445</c:v>
                </c:pt>
                <c:pt idx="48" formatCode="0.0000">
                  <c:v>890</c:v>
                </c:pt>
              </c:numCache>
            </c:numRef>
          </c:yVal>
          <c:smooth val="0"/>
          <c:extLst>
            <c:ext xmlns:c16="http://schemas.microsoft.com/office/drawing/2014/chart" uri="{C3380CC4-5D6E-409C-BE32-E72D297353CC}">
              <c16:uniqueId val="{00000000-689B-49AB-B711-4CDA895C071E}"/>
            </c:ext>
          </c:extLst>
        </c:ser>
        <c:ser>
          <c:idx val="1"/>
          <c:order val="1"/>
          <c:tx>
            <c:strRef>
              <c:f>Data!$N$1</c:f>
              <c:strCache>
                <c:ptCount val="1"/>
                <c:pt idx="0">
                  <c:v>Delay</c:v>
                </c:pt>
              </c:strCache>
            </c:strRef>
          </c:tx>
          <c:spPr>
            <a:ln w="25400" cap="rnd">
              <a:noFill/>
              <a:round/>
            </a:ln>
            <a:effectLst/>
          </c:spPr>
          <c:marker>
            <c:symbol val="triangle"/>
            <c:size val="7"/>
            <c:spPr>
              <a:noFill/>
              <a:ln w="9525">
                <a:solidFill>
                  <a:schemeClr val="accent2"/>
                </a:solidFill>
              </a:ln>
              <a:effectLst/>
            </c:spPr>
          </c:marker>
          <c:xVal>
            <c:numRef>
              <c:f>Data!$L$2:$L$54</c:f>
              <c:numCache>
                <c:formatCode>General</c:formatCode>
                <c:ptCount val="53"/>
                <c:pt idx="0">
                  <c:v>2000</c:v>
                </c:pt>
                <c:pt idx="1">
                  <c:v>2004</c:v>
                </c:pt>
                <c:pt idx="2">
                  <c:v>2005</c:v>
                </c:pt>
                <c:pt idx="3">
                  <c:v>2007</c:v>
                </c:pt>
                <c:pt idx="4">
                  <c:v>2008</c:v>
                </c:pt>
                <c:pt idx="5">
                  <c:v>2008</c:v>
                </c:pt>
                <c:pt idx="6">
                  <c:v>2008</c:v>
                </c:pt>
                <c:pt idx="7">
                  <c:v>2009</c:v>
                </c:pt>
                <c:pt idx="8">
                  <c:v>2010</c:v>
                </c:pt>
                <c:pt idx="9">
                  <c:v>2011</c:v>
                </c:pt>
                <c:pt idx="10">
                  <c:v>2011</c:v>
                </c:pt>
                <c:pt idx="11">
                  <c:v>2011</c:v>
                </c:pt>
                <c:pt idx="12">
                  <c:v>2012</c:v>
                </c:pt>
                <c:pt idx="13">
                  <c:v>2012</c:v>
                </c:pt>
                <c:pt idx="14">
                  <c:v>2012</c:v>
                </c:pt>
                <c:pt idx="15">
                  <c:v>2012</c:v>
                </c:pt>
                <c:pt idx="16">
                  <c:v>2012</c:v>
                </c:pt>
                <c:pt idx="17">
                  <c:v>2012</c:v>
                </c:pt>
                <c:pt idx="18">
                  <c:v>2012</c:v>
                </c:pt>
                <c:pt idx="19">
                  <c:v>2012</c:v>
                </c:pt>
                <c:pt idx="20">
                  <c:v>2013</c:v>
                </c:pt>
                <c:pt idx="21">
                  <c:v>2014</c:v>
                </c:pt>
                <c:pt idx="22">
                  <c:v>2014</c:v>
                </c:pt>
                <c:pt idx="23">
                  <c:v>2014</c:v>
                </c:pt>
                <c:pt idx="24">
                  <c:v>2014</c:v>
                </c:pt>
                <c:pt idx="25">
                  <c:v>2015</c:v>
                </c:pt>
                <c:pt idx="26">
                  <c:v>2015</c:v>
                </c:pt>
                <c:pt idx="27">
                  <c:v>2015</c:v>
                </c:pt>
                <c:pt idx="28">
                  <c:v>2015</c:v>
                </c:pt>
                <c:pt idx="29">
                  <c:v>2016</c:v>
                </c:pt>
                <c:pt idx="30">
                  <c:v>2016</c:v>
                </c:pt>
                <c:pt idx="31">
                  <c:v>2016</c:v>
                </c:pt>
                <c:pt idx="32">
                  <c:v>2016</c:v>
                </c:pt>
                <c:pt idx="33">
                  <c:v>2016</c:v>
                </c:pt>
                <c:pt idx="34">
                  <c:v>2016</c:v>
                </c:pt>
                <c:pt idx="35">
                  <c:v>2016</c:v>
                </c:pt>
                <c:pt idx="36">
                  <c:v>2017</c:v>
                </c:pt>
                <c:pt idx="37">
                  <c:v>2017</c:v>
                </c:pt>
                <c:pt idx="38">
                  <c:v>2017</c:v>
                </c:pt>
                <c:pt idx="39">
                  <c:v>2017</c:v>
                </c:pt>
                <c:pt idx="40">
                  <c:v>2017</c:v>
                </c:pt>
                <c:pt idx="41">
                  <c:v>2017</c:v>
                </c:pt>
                <c:pt idx="42">
                  <c:v>2017</c:v>
                </c:pt>
                <c:pt idx="43">
                  <c:v>2017</c:v>
                </c:pt>
                <c:pt idx="44">
                  <c:v>2017</c:v>
                </c:pt>
                <c:pt idx="45">
                  <c:v>2018</c:v>
                </c:pt>
                <c:pt idx="46">
                  <c:v>2018</c:v>
                </c:pt>
                <c:pt idx="47">
                  <c:v>2018</c:v>
                </c:pt>
                <c:pt idx="48">
                  <c:v>2018</c:v>
                </c:pt>
                <c:pt idx="49">
                  <c:v>2018</c:v>
                </c:pt>
                <c:pt idx="50">
                  <c:v>2018</c:v>
                </c:pt>
                <c:pt idx="51">
                  <c:v>2018</c:v>
                </c:pt>
                <c:pt idx="52">
                  <c:v>2018</c:v>
                </c:pt>
              </c:numCache>
            </c:numRef>
          </c:xVal>
          <c:yVal>
            <c:numRef>
              <c:f>Data!$N$2:$N$54</c:f>
              <c:numCache>
                <c:formatCode>0.00</c:formatCode>
                <c:ptCount val="53"/>
                <c:pt idx="1">
                  <c:v>708402.77777777787</c:v>
                </c:pt>
                <c:pt idx="2">
                  <c:v>708402.77777777787</c:v>
                </c:pt>
                <c:pt idx="14">
                  <c:v>4062.2233611331126</c:v>
                </c:pt>
                <c:pt idx="18">
                  <c:v>14854.536489151873</c:v>
                </c:pt>
                <c:pt idx="28">
                  <c:v>527849.99999999988</c:v>
                </c:pt>
                <c:pt idx="32">
                  <c:v>16642</c:v>
                </c:pt>
              </c:numCache>
            </c:numRef>
          </c:yVal>
          <c:smooth val="0"/>
          <c:extLst>
            <c:ext xmlns:c16="http://schemas.microsoft.com/office/drawing/2014/chart" uri="{C3380CC4-5D6E-409C-BE32-E72D297353CC}">
              <c16:uniqueId val="{00000001-689B-49AB-B711-4CDA895C071E}"/>
            </c:ext>
          </c:extLst>
        </c:ser>
        <c:ser>
          <c:idx val="2"/>
          <c:order val="2"/>
          <c:tx>
            <c:strRef>
              <c:f>Data!$O$1</c:f>
              <c:strCache>
                <c:ptCount val="1"/>
                <c:pt idx="0">
                  <c:v>Memory</c:v>
                </c:pt>
              </c:strCache>
            </c:strRef>
          </c:tx>
          <c:spPr>
            <a:ln w="25400" cap="rnd">
              <a:noFill/>
              <a:round/>
            </a:ln>
            <a:effectLst/>
          </c:spPr>
          <c:marker>
            <c:symbol val="square"/>
            <c:size val="7"/>
            <c:spPr>
              <a:noFill/>
              <a:ln w="9525">
                <a:solidFill>
                  <a:schemeClr val="accent3"/>
                </a:solidFill>
              </a:ln>
              <a:effectLst/>
            </c:spPr>
          </c:marker>
          <c:xVal>
            <c:numRef>
              <c:f>Data!$L$2:$L$54</c:f>
              <c:numCache>
                <c:formatCode>General</c:formatCode>
                <c:ptCount val="53"/>
                <c:pt idx="0">
                  <c:v>2000</c:v>
                </c:pt>
                <c:pt idx="1">
                  <c:v>2004</c:v>
                </c:pt>
                <c:pt idx="2">
                  <c:v>2005</c:v>
                </c:pt>
                <c:pt idx="3">
                  <c:v>2007</c:v>
                </c:pt>
                <c:pt idx="4">
                  <c:v>2008</c:v>
                </c:pt>
                <c:pt idx="5">
                  <c:v>2008</c:v>
                </c:pt>
                <c:pt idx="6">
                  <c:v>2008</c:v>
                </c:pt>
                <c:pt idx="7">
                  <c:v>2009</c:v>
                </c:pt>
                <c:pt idx="8">
                  <c:v>2010</c:v>
                </c:pt>
                <c:pt idx="9">
                  <c:v>2011</c:v>
                </c:pt>
                <c:pt idx="10">
                  <c:v>2011</c:v>
                </c:pt>
                <c:pt idx="11">
                  <c:v>2011</c:v>
                </c:pt>
                <c:pt idx="12">
                  <c:v>2012</c:v>
                </c:pt>
                <c:pt idx="13">
                  <c:v>2012</c:v>
                </c:pt>
                <c:pt idx="14">
                  <c:v>2012</c:v>
                </c:pt>
                <c:pt idx="15">
                  <c:v>2012</c:v>
                </c:pt>
                <c:pt idx="16">
                  <c:v>2012</c:v>
                </c:pt>
                <c:pt idx="17">
                  <c:v>2012</c:v>
                </c:pt>
                <c:pt idx="18">
                  <c:v>2012</c:v>
                </c:pt>
                <c:pt idx="19">
                  <c:v>2012</c:v>
                </c:pt>
                <c:pt idx="20">
                  <c:v>2013</c:v>
                </c:pt>
                <c:pt idx="21">
                  <c:v>2014</c:v>
                </c:pt>
                <c:pt idx="22">
                  <c:v>2014</c:v>
                </c:pt>
                <c:pt idx="23">
                  <c:v>2014</c:v>
                </c:pt>
                <c:pt idx="24">
                  <c:v>2014</c:v>
                </c:pt>
                <c:pt idx="25">
                  <c:v>2015</c:v>
                </c:pt>
                <c:pt idx="26">
                  <c:v>2015</c:v>
                </c:pt>
                <c:pt idx="27">
                  <c:v>2015</c:v>
                </c:pt>
                <c:pt idx="28">
                  <c:v>2015</c:v>
                </c:pt>
                <c:pt idx="29">
                  <c:v>2016</c:v>
                </c:pt>
                <c:pt idx="30">
                  <c:v>2016</c:v>
                </c:pt>
                <c:pt idx="31">
                  <c:v>2016</c:v>
                </c:pt>
                <c:pt idx="32">
                  <c:v>2016</c:v>
                </c:pt>
                <c:pt idx="33">
                  <c:v>2016</c:v>
                </c:pt>
                <c:pt idx="34">
                  <c:v>2016</c:v>
                </c:pt>
                <c:pt idx="35">
                  <c:v>2016</c:v>
                </c:pt>
                <c:pt idx="36">
                  <c:v>2017</c:v>
                </c:pt>
                <c:pt idx="37">
                  <c:v>2017</c:v>
                </c:pt>
                <c:pt idx="38">
                  <c:v>2017</c:v>
                </c:pt>
                <c:pt idx="39">
                  <c:v>2017</c:v>
                </c:pt>
                <c:pt idx="40">
                  <c:v>2017</c:v>
                </c:pt>
                <c:pt idx="41">
                  <c:v>2017</c:v>
                </c:pt>
                <c:pt idx="42">
                  <c:v>2017</c:v>
                </c:pt>
                <c:pt idx="43">
                  <c:v>2017</c:v>
                </c:pt>
                <c:pt idx="44">
                  <c:v>2017</c:v>
                </c:pt>
                <c:pt idx="45">
                  <c:v>2018</c:v>
                </c:pt>
                <c:pt idx="46">
                  <c:v>2018</c:v>
                </c:pt>
                <c:pt idx="47">
                  <c:v>2018</c:v>
                </c:pt>
                <c:pt idx="48">
                  <c:v>2018</c:v>
                </c:pt>
                <c:pt idx="49">
                  <c:v>2018</c:v>
                </c:pt>
                <c:pt idx="50">
                  <c:v>2018</c:v>
                </c:pt>
                <c:pt idx="51">
                  <c:v>2018</c:v>
                </c:pt>
                <c:pt idx="52">
                  <c:v>2018</c:v>
                </c:pt>
              </c:numCache>
            </c:numRef>
          </c:xVal>
          <c:yVal>
            <c:numRef>
              <c:f>Data!$O$2:$O$54</c:f>
              <c:numCache>
                <c:formatCode>0.00</c:formatCode>
                <c:ptCount val="53"/>
                <c:pt idx="3">
                  <c:v>3106.5088757396447</c:v>
                </c:pt>
                <c:pt idx="4">
                  <c:v>1092</c:v>
                </c:pt>
                <c:pt idx="5">
                  <c:v>1092</c:v>
                </c:pt>
                <c:pt idx="13">
                  <c:v>192.31491540310648</c:v>
                </c:pt>
                <c:pt idx="15">
                  <c:v>1964.6819526627216</c:v>
                </c:pt>
                <c:pt idx="16">
                  <c:v>2831.4534023668634</c:v>
                </c:pt>
                <c:pt idx="17">
                  <c:v>1097.9105029585799</c:v>
                </c:pt>
                <c:pt idx="19">
                  <c:v>2384.185791015625</c:v>
                </c:pt>
                <c:pt idx="20">
                  <c:v>38.0859375</c:v>
                </c:pt>
                <c:pt idx="31">
                  <c:v>806</c:v>
                </c:pt>
              </c:numCache>
            </c:numRef>
          </c:yVal>
          <c:smooth val="0"/>
          <c:extLst>
            <c:ext xmlns:c16="http://schemas.microsoft.com/office/drawing/2014/chart" uri="{C3380CC4-5D6E-409C-BE32-E72D297353CC}">
              <c16:uniqueId val="{00000002-689B-49AB-B711-4CDA895C071E}"/>
            </c:ext>
          </c:extLst>
        </c:ser>
        <c:ser>
          <c:idx val="3"/>
          <c:order val="3"/>
          <c:tx>
            <c:strRef>
              <c:f>Data!$P$1</c:f>
              <c:strCache>
                <c:ptCount val="1"/>
                <c:pt idx="0">
                  <c:v>Metastability</c:v>
                </c:pt>
              </c:strCache>
            </c:strRef>
          </c:tx>
          <c:spPr>
            <a:ln w="28575">
              <a:noFill/>
            </a:ln>
          </c:spPr>
          <c:marker>
            <c:symbol val="star"/>
            <c:size val="7"/>
          </c:marker>
          <c:xVal>
            <c:numRef>
              <c:f>Data!$L$2:$L$54</c:f>
              <c:numCache>
                <c:formatCode>General</c:formatCode>
                <c:ptCount val="53"/>
                <c:pt idx="0">
                  <c:v>2000</c:v>
                </c:pt>
                <c:pt idx="1">
                  <c:v>2004</c:v>
                </c:pt>
                <c:pt idx="2">
                  <c:v>2005</c:v>
                </c:pt>
                <c:pt idx="3">
                  <c:v>2007</c:v>
                </c:pt>
                <c:pt idx="4">
                  <c:v>2008</c:v>
                </c:pt>
                <c:pt idx="5">
                  <c:v>2008</c:v>
                </c:pt>
                <c:pt idx="6">
                  <c:v>2008</c:v>
                </c:pt>
                <c:pt idx="7">
                  <c:v>2009</c:v>
                </c:pt>
                <c:pt idx="8">
                  <c:v>2010</c:v>
                </c:pt>
                <c:pt idx="9">
                  <c:v>2011</c:v>
                </c:pt>
                <c:pt idx="10">
                  <c:v>2011</c:v>
                </c:pt>
                <c:pt idx="11">
                  <c:v>2011</c:v>
                </c:pt>
                <c:pt idx="12">
                  <c:v>2012</c:v>
                </c:pt>
                <c:pt idx="13">
                  <c:v>2012</c:v>
                </c:pt>
                <c:pt idx="14">
                  <c:v>2012</c:v>
                </c:pt>
                <c:pt idx="15">
                  <c:v>2012</c:v>
                </c:pt>
                <c:pt idx="16">
                  <c:v>2012</c:v>
                </c:pt>
                <c:pt idx="17">
                  <c:v>2012</c:v>
                </c:pt>
                <c:pt idx="18">
                  <c:v>2012</c:v>
                </c:pt>
                <c:pt idx="19">
                  <c:v>2012</c:v>
                </c:pt>
                <c:pt idx="20">
                  <c:v>2013</c:v>
                </c:pt>
                <c:pt idx="21">
                  <c:v>2014</c:v>
                </c:pt>
                <c:pt idx="22">
                  <c:v>2014</c:v>
                </c:pt>
                <c:pt idx="23">
                  <c:v>2014</c:v>
                </c:pt>
                <c:pt idx="24">
                  <c:v>2014</c:v>
                </c:pt>
                <c:pt idx="25">
                  <c:v>2015</c:v>
                </c:pt>
                <c:pt idx="26">
                  <c:v>2015</c:v>
                </c:pt>
                <c:pt idx="27">
                  <c:v>2015</c:v>
                </c:pt>
                <c:pt idx="28">
                  <c:v>2015</c:v>
                </c:pt>
                <c:pt idx="29">
                  <c:v>2016</c:v>
                </c:pt>
                <c:pt idx="30">
                  <c:v>2016</c:v>
                </c:pt>
                <c:pt idx="31">
                  <c:v>2016</c:v>
                </c:pt>
                <c:pt idx="32">
                  <c:v>2016</c:v>
                </c:pt>
                <c:pt idx="33">
                  <c:v>2016</c:v>
                </c:pt>
                <c:pt idx="34">
                  <c:v>2016</c:v>
                </c:pt>
                <c:pt idx="35">
                  <c:v>2016</c:v>
                </c:pt>
                <c:pt idx="36">
                  <c:v>2017</c:v>
                </c:pt>
                <c:pt idx="37">
                  <c:v>2017</c:v>
                </c:pt>
                <c:pt idx="38">
                  <c:v>2017</c:v>
                </c:pt>
                <c:pt idx="39">
                  <c:v>2017</c:v>
                </c:pt>
                <c:pt idx="40">
                  <c:v>2017</c:v>
                </c:pt>
                <c:pt idx="41">
                  <c:v>2017</c:v>
                </c:pt>
                <c:pt idx="42">
                  <c:v>2017</c:v>
                </c:pt>
                <c:pt idx="43">
                  <c:v>2017</c:v>
                </c:pt>
                <c:pt idx="44">
                  <c:v>2017</c:v>
                </c:pt>
                <c:pt idx="45">
                  <c:v>2018</c:v>
                </c:pt>
                <c:pt idx="46">
                  <c:v>2018</c:v>
                </c:pt>
                <c:pt idx="47">
                  <c:v>2018</c:v>
                </c:pt>
                <c:pt idx="48">
                  <c:v>2018</c:v>
                </c:pt>
                <c:pt idx="49">
                  <c:v>2018</c:v>
                </c:pt>
                <c:pt idx="50">
                  <c:v>2018</c:v>
                </c:pt>
                <c:pt idx="51">
                  <c:v>2018</c:v>
                </c:pt>
                <c:pt idx="52">
                  <c:v>2018</c:v>
                </c:pt>
              </c:numCache>
            </c:numRef>
          </c:xVal>
          <c:yVal>
            <c:numRef>
              <c:f>Data!$P$2:$P$54</c:f>
              <c:numCache>
                <c:formatCode>0.00</c:formatCode>
                <c:ptCount val="53"/>
                <c:pt idx="22">
                  <c:v>9632.2314049586785</c:v>
                </c:pt>
                <c:pt idx="23">
                  <c:v>56675.502232142855</c:v>
                </c:pt>
                <c:pt idx="34">
                  <c:v>9387.7551020408155</c:v>
                </c:pt>
                <c:pt idx="42">
                  <c:v>9387.7551020408155</c:v>
                </c:pt>
              </c:numCache>
            </c:numRef>
          </c:yVal>
          <c:smooth val="0"/>
          <c:extLst>
            <c:ext xmlns:c16="http://schemas.microsoft.com/office/drawing/2014/chart" uri="{C3380CC4-5D6E-409C-BE32-E72D297353CC}">
              <c16:uniqueId val="{00000003-689B-49AB-B711-4CDA895C071E}"/>
            </c:ext>
          </c:extLst>
        </c:ser>
        <c:ser>
          <c:idx val="4"/>
          <c:order val="4"/>
          <c:tx>
            <c:strRef>
              <c:f>Data!$Q$1</c:f>
              <c:strCache>
                <c:ptCount val="1"/>
                <c:pt idx="0">
                  <c:v>Monostable</c:v>
                </c:pt>
              </c:strCache>
            </c:strRef>
          </c:tx>
          <c:spPr>
            <a:ln w="28575">
              <a:noFill/>
            </a:ln>
          </c:spPr>
          <c:marker>
            <c:symbol val="diamond"/>
            <c:size val="7"/>
            <c:spPr>
              <a:noFill/>
            </c:spPr>
          </c:marker>
          <c:xVal>
            <c:numRef>
              <c:f>Data!$L$2:$L$54</c:f>
              <c:numCache>
                <c:formatCode>General</c:formatCode>
                <c:ptCount val="53"/>
                <c:pt idx="0">
                  <c:v>2000</c:v>
                </c:pt>
                <c:pt idx="1">
                  <c:v>2004</c:v>
                </c:pt>
                <c:pt idx="2">
                  <c:v>2005</c:v>
                </c:pt>
                <c:pt idx="3">
                  <c:v>2007</c:v>
                </c:pt>
                <c:pt idx="4">
                  <c:v>2008</c:v>
                </c:pt>
                <c:pt idx="5">
                  <c:v>2008</c:v>
                </c:pt>
                <c:pt idx="6">
                  <c:v>2008</c:v>
                </c:pt>
                <c:pt idx="7">
                  <c:v>2009</c:v>
                </c:pt>
                <c:pt idx="8">
                  <c:v>2010</c:v>
                </c:pt>
                <c:pt idx="9">
                  <c:v>2011</c:v>
                </c:pt>
                <c:pt idx="10">
                  <c:v>2011</c:v>
                </c:pt>
                <c:pt idx="11">
                  <c:v>2011</c:v>
                </c:pt>
                <c:pt idx="12">
                  <c:v>2012</c:v>
                </c:pt>
                <c:pt idx="13">
                  <c:v>2012</c:v>
                </c:pt>
                <c:pt idx="14">
                  <c:v>2012</c:v>
                </c:pt>
                <c:pt idx="15">
                  <c:v>2012</c:v>
                </c:pt>
                <c:pt idx="16">
                  <c:v>2012</c:v>
                </c:pt>
                <c:pt idx="17">
                  <c:v>2012</c:v>
                </c:pt>
                <c:pt idx="18">
                  <c:v>2012</c:v>
                </c:pt>
                <c:pt idx="19">
                  <c:v>2012</c:v>
                </c:pt>
                <c:pt idx="20">
                  <c:v>2013</c:v>
                </c:pt>
                <c:pt idx="21">
                  <c:v>2014</c:v>
                </c:pt>
                <c:pt idx="22">
                  <c:v>2014</c:v>
                </c:pt>
                <c:pt idx="23">
                  <c:v>2014</c:v>
                </c:pt>
                <c:pt idx="24">
                  <c:v>2014</c:v>
                </c:pt>
                <c:pt idx="25">
                  <c:v>2015</c:v>
                </c:pt>
                <c:pt idx="26">
                  <c:v>2015</c:v>
                </c:pt>
                <c:pt idx="27">
                  <c:v>2015</c:v>
                </c:pt>
                <c:pt idx="28">
                  <c:v>2015</c:v>
                </c:pt>
                <c:pt idx="29">
                  <c:v>2016</c:v>
                </c:pt>
                <c:pt idx="30">
                  <c:v>2016</c:v>
                </c:pt>
                <c:pt idx="31">
                  <c:v>2016</c:v>
                </c:pt>
                <c:pt idx="32">
                  <c:v>2016</c:v>
                </c:pt>
                <c:pt idx="33">
                  <c:v>2016</c:v>
                </c:pt>
                <c:pt idx="34">
                  <c:v>2016</c:v>
                </c:pt>
                <c:pt idx="35">
                  <c:v>2016</c:v>
                </c:pt>
                <c:pt idx="36">
                  <c:v>2017</c:v>
                </c:pt>
                <c:pt idx="37">
                  <c:v>2017</c:v>
                </c:pt>
                <c:pt idx="38">
                  <c:v>2017</c:v>
                </c:pt>
                <c:pt idx="39">
                  <c:v>2017</c:v>
                </c:pt>
                <c:pt idx="40">
                  <c:v>2017</c:v>
                </c:pt>
                <c:pt idx="41">
                  <c:v>2017</c:v>
                </c:pt>
                <c:pt idx="42">
                  <c:v>2017</c:v>
                </c:pt>
                <c:pt idx="43">
                  <c:v>2017</c:v>
                </c:pt>
                <c:pt idx="44">
                  <c:v>2017</c:v>
                </c:pt>
                <c:pt idx="45">
                  <c:v>2018</c:v>
                </c:pt>
                <c:pt idx="46">
                  <c:v>2018</c:v>
                </c:pt>
                <c:pt idx="47">
                  <c:v>2018</c:v>
                </c:pt>
                <c:pt idx="48">
                  <c:v>2018</c:v>
                </c:pt>
                <c:pt idx="49">
                  <c:v>2018</c:v>
                </c:pt>
                <c:pt idx="50">
                  <c:v>2018</c:v>
                </c:pt>
                <c:pt idx="51">
                  <c:v>2018</c:v>
                </c:pt>
                <c:pt idx="52">
                  <c:v>2018</c:v>
                </c:pt>
              </c:numCache>
            </c:numRef>
          </c:xVal>
          <c:yVal>
            <c:numRef>
              <c:f>Data!$Q$2:$Q$54</c:f>
              <c:numCache>
                <c:formatCode>0.00</c:formatCode>
                <c:ptCount val="53"/>
                <c:pt idx="25">
                  <c:v>6000</c:v>
                </c:pt>
                <c:pt idx="30">
                  <c:v>6000</c:v>
                </c:pt>
                <c:pt idx="36">
                  <c:v>782</c:v>
                </c:pt>
                <c:pt idx="37">
                  <c:v>553</c:v>
                </c:pt>
                <c:pt idx="44">
                  <c:v>4518.75</c:v>
                </c:pt>
                <c:pt idx="51" formatCode="General">
                  <c:v>4518.75</c:v>
                </c:pt>
              </c:numCache>
            </c:numRef>
          </c:yVal>
          <c:smooth val="0"/>
          <c:extLst>
            <c:ext xmlns:c16="http://schemas.microsoft.com/office/drawing/2014/chart" uri="{C3380CC4-5D6E-409C-BE32-E72D297353CC}">
              <c16:uniqueId val="{00000004-689B-49AB-B711-4CDA895C071E}"/>
            </c:ext>
          </c:extLst>
        </c:ser>
        <c:dLbls>
          <c:showLegendKey val="0"/>
          <c:showVal val="0"/>
          <c:showCatName val="0"/>
          <c:showSerName val="0"/>
          <c:showPercent val="0"/>
          <c:showBubbleSize val="0"/>
        </c:dLbls>
        <c:axId val="152336752"/>
        <c:axId val="152337144"/>
        <c:extLst/>
      </c:scatterChart>
      <c:valAx>
        <c:axId val="152336752"/>
        <c:scaling>
          <c:orientation val="minMax"/>
          <c:min val="1999"/>
        </c:scaling>
        <c:delete val="0"/>
        <c:axPos val="b"/>
        <c:title>
          <c:tx>
            <c:rich>
              <a:bodyPr rot="0" spcFirstLastPara="1" vertOverflow="ellipsis" vert="horz" wrap="square" anchor="ctr" anchorCtr="1"/>
              <a:lstStyle/>
              <a:p>
                <a:pPr>
                  <a:defRPr lang="en-US" sz="1100" b="1" i="0" u="none" strike="noStrike" kern="1200" baseline="0">
                    <a:solidFill>
                      <a:schemeClr val="tx1">
                        <a:lumMod val="65000"/>
                        <a:lumOff val="35000"/>
                      </a:schemeClr>
                    </a:solidFill>
                    <a:latin typeface="+mn-lt"/>
                    <a:ea typeface="+mn-ea"/>
                    <a:cs typeface="+mn-cs"/>
                  </a:defRPr>
                </a:pPr>
                <a:r>
                  <a:rPr lang="en-US" sz="1100" b="1"/>
                  <a:t>year</a:t>
                </a:r>
              </a:p>
            </c:rich>
          </c:tx>
          <c:overlay val="0"/>
          <c:spPr>
            <a:noFill/>
            <a:ln>
              <a:noFill/>
            </a:ln>
            <a:effectLst/>
          </c:spPr>
        </c:title>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lang="en-US" sz="900" b="1" i="0" u="none" strike="noStrike" kern="1200" baseline="0">
                <a:solidFill>
                  <a:schemeClr val="tx1">
                    <a:lumMod val="65000"/>
                    <a:lumOff val="35000"/>
                  </a:schemeClr>
                </a:solidFill>
                <a:latin typeface="+mn-lt"/>
                <a:ea typeface="+mn-ea"/>
                <a:cs typeface="+mn-cs"/>
              </a:defRPr>
            </a:pPr>
            <a:endParaRPr lang="en-US"/>
          </a:p>
        </c:txPr>
        <c:crossAx val="152337144"/>
        <c:crosses val="autoZero"/>
        <c:crossBetween val="midCat"/>
      </c:valAx>
      <c:valAx>
        <c:axId val="152337144"/>
        <c:scaling>
          <c:logBase val="10"/>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lang="en-US" sz="1100" b="1" i="0" u="none" strike="noStrike" kern="1200" baseline="0">
                    <a:solidFill>
                      <a:schemeClr val="tx1">
                        <a:lumMod val="65000"/>
                        <a:lumOff val="35000"/>
                      </a:schemeClr>
                    </a:solidFill>
                    <a:latin typeface="+mn-lt"/>
                    <a:ea typeface="+mn-ea"/>
                    <a:cs typeface="+mn-cs"/>
                  </a:defRPr>
                </a:pPr>
                <a:r>
                  <a:rPr lang="en-US" sz="1100" b="1"/>
                  <a:t>normalized</a:t>
                </a:r>
                <a:r>
                  <a:rPr lang="en-US" sz="1100" b="1" baseline="0"/>
                  <a:t> area/bit (F</a:t>
                </a:r>
                <a:r>
                  <a:rPr lang="en-US" sz="1100" b="1" baseline="30000"/>
                  <a:t>2</a:t>
                </a:r>
                <a:r>
                  <a:rPr lang="en-US" sz="1100" b="1" baseline="0"/>
                  <a:t>)</a:t>
                </a:r>
                <a:endParaRPr lang="en-US" sz="1100" b="1"/>
              </a:p>
            </c:rich>
          </c:tx>
          <c:overlay val="0"/>
          <c:spPr>
            <a:noFill/>
            <a:ln>
              <a:noFill/>
            </a:ln>
            <a:effectLst/>
          </c:spPr>
        </c:title>
        <c:numFmt formatCode="0.E+00" sourceLinked="0"/>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lang="en-US" sz="900" b="1" i="0" u="none" strike="noStrike" kern="1200" baseline="0">
                <a:solidFill>
                  <a:schemeClr val="tx1">
                    <a:lumMod val="65000"/>
                    <a:lumOff val="35000"/>
                  </a:schemeClr>
                </a:solidFill>
                <a:latin typeface="+mn-lt"/>
                <a:ea typeface="+mn-ea"/>
                <a:cs typeface="+mn-cs"/>
              </a:defRPr>
            </a:pPr>
            <a:endParaRPr lang="en-US"/>
          </a:p>
        </c:txPr>
        <c:crossAx val="152336752"/>
        <c:crosses val="autoZero"/>
        <c:crossBetween val="midCat"/>
      </c:valAx>
      <c:spPr>
        <a:noFill/>
        <a:ln>
          <a:solidFill>
            <a:schemeClr val="bg1">
              <a:lumMod val="50000"/>
            </a:schemeClr>
          </a:solidFill>
        </a:ln>
        <a:effectLst/>
      </c:spPr>
    </c:plotArea>
    <c:legend>
      <c:legendPos val="b"/>
      <c:overlay val="0"/>
      <c:spPr>
        <a:noFill/>
        <a:ln>
          <a:noFill/>
        </a:ln>
        <a:effectLst/>
      </c:spPr>
      <c:txPr>
        <a:bodyPr rot="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000000000000189" l="0.70000000000000062" r="0.70000000000000062" t="0.7500000000000018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600" b="1" i="0" u="none" strike="noStrike" kern="1200" spc="0" baseline="0">
                <a:solidFill>
                  <a:schemeClr val="tx1">
                    <a:lumMod val="65000"/>
                    <a:lumOff val="35000"/>
                  </a:schemeClr>
                </a:solidFill>
                <a:latin typeface="+mn-lt"/>
                <a:ea typeface="+mn-ea"/>
                <a:cs typeface="+mn-cs"/>
              </a:defRPr>
            </a:pPr>
            <a:r>
              <a:rPr lang="en-SG" sz="1600" b="1"/>
              <a:t>Native instability rate</a:t>
            </a:r>
          </a:p>
        </c:rich>
      </c:tx>
      <c:overlay val="0"/>
      <c:spPr>
        <a:noFill/>
        <a:ln>
          <a:noFill/>
        </a:ln>
        <a:effectLst/>
      </c:spPr>
    </c:title>
    <c:autoTitleDeleted val="0"/>
    <c:plotArea>
      <c:layout/>
      <c:scatterChart>
        <c:scatterStyle val="lineMarker"/>
        <c:varyColors val="0"/>
        <c:ser>
          <c:idx val="0"/>
          <c:order val="0"/>
          <c:tx>
            <c:strRef>
              <c:f>Data!$M$60</c:f>
              <c:strCache>
                <c:ptCount val="1"/>
                <c:pt idx="0">
                  <c:v>Analog</c:v>
                </c:pt>
              </c:strCache>
            </c:strRef>
          </c:tx>
          <c:spPr>
            <a:ln w="25400" cap="rnd">
              <a:noFill/>
              <a:round/>
            </a:ln>
            <a:effectLst/>
          </c:spPr>
          <c:marker>
            <c:symbol val="circle"/>
            <c:size val="7"/>
            <c:spPr>
              <a:noFill/>
              <a:ln w="9525">
                <a:solidFill>
                  <a:schemeClr val="accent1"/>
                </a:solidFill>
              </a:ln>
              <a:effectLst/>
            </c:spPr>
          </c:marker>
          <c:xVal>
            <c:numRef>
              <c:f>Data!$L$61:$L$113</c:f>
              <c:numCache>
                <c:formatCode>General</c:formatCode>
                <c:ptCount val="53"/>
                <c:pt idx="0">
                  <c:v>2000</c:v>
                </c:pt>
                <c:pt idx="1">
                  <c:v>2004</c:v>
                </c:pt>
                <c:pt idx="2">
                  <c:v>2005</c:v>
                </c:pt>
                <c:pt idx="3">
                  <c:v>2007</c:v>
                </c:pt>
                <c:pt idx="4">
                  <c:v>2008</c:v>
                </c:pt>
                <c:pt idx="5">
                  <c:v>2008</c:v>
                </c:pt>
                <c:pt idx="6">
                  <c:v>2008</c:v>
                </c:pt>
                <c:pt idx="7">
                  <c:v>2009</c:v>
                </c:pt>
                <c:pt idx="8">
                  <c:v>2010</c:v>
                </c:pt>
                <c:pt idx="9">
                  <c:v>2011</c:v>
                </c:pt>
                <c:pt idx="10">
                  <c:v>2011</c:v>
                </c:pt>
                <c:pt idx="11">
                  <c:v>2011</c:v>
                </c:pt>
                <c:pt idx="12">
                  <c:v>2012</c:v>
                </c:pt>
                <c:pt idx="13">
                  <c:v>2012</c:v>
                </c:pt>
                <c:pt idx="14">
                  <c:v>2012</c:v>
                </c:pt>
                <c:pt idx="15">
                  <c:v>2012</c:v>
                </c:pt>
                <c:pt idx="16">
                  <c:v>2012</c:v>
                </c:pt>
                <c:pt idx="17">
                  <c:v>2012</c:v>
                </c:pt>
                <c:pt idx="18">
                  <c:v>2012</c:v>
                </c:pt>
                <c:pt idx="19">
                  <c:v>2012</c:v>
                </c:pt>
                <c:pt idx="20">
                  <c:v>2013</c:v>
                </c:pt>
                <c:pt idx="21">
                  <c:v>2014</c:v>
                </c:pt>
                <c:pt idx="22">
                  <c:v>2014</c:v>
                </c:pt>
                <c:pt idx="23">
                  <c:v>2014</c:v>
                </c:pt>
                <c:pt idx="24">
                  <c:v>2014</c:v>
                </c:pt>
                <c:pt idx="25">
                  <c:v>2015</c:v>
                </c:pt>
                <c:pt idx="26">
                  <c:v>2015</c:v>
                </c:pt>
                <c:pt idx="27">
                  <c:v>2015</c:v>
                </c:pt>
                <c:pt idx="28">
                  <c:v>2015</c:v>
                </c:pt>
                <c:pt idx="29">
                  <c:v>2016</c:v>
                </c:pt>
                <c:pt idx="30">
                  <c:v>2016</c:v>
                </c:pt>
                <c:pt idx="31">
                  <c:v>2016</c:v>
                </c:pt>
                <c:pt idx="32">
                  <c:v>2016</c:v>
                </c:pt>
                <c:pt idx="33">
                  <c:v>2016</c:v>
                </c:pt>
                <c:pt idx="34">
                  <c:v>2016</c:v>
                </c:pt>
                <c:pt idx="35">
                  <c:v>2016</c:v>
                </c:pt>
                <c:pt idx="36">
                  <c:v>2017</c:v>
                </c:pt>
                <c:pt idx="37">
                  <c:v>2017</c:v>
                </c:pt>
                <c:pt idx="38">
                  <c:v>2017</c:v>
                </c:pt>
                <c:pt idx="39">
                  <c:v>2017</c:v>
                </c:pt>
                <c:pt idx="40">
                  <c:v>2017</c:v>
                </c:pt>
                <c:pt idx="41">
                  <c:v>2017</c:v>
                </c:pt>
                <c:pt idx="42">
                  <c:v>2017</c:v>
                </c:pt>
                <c:pt idx="43">
                  <c:v>2017</c:v>
                </c:pt>
                <c:pt idx="44">
                  <c:v>2017</c:v>
                </c:pt>
                <c:pt idx="45">
                  <c:v>2018</c:v>
                </c:pt>
                <c:pt idx="46">
                  <c:v>2018</c:v>
                </c:pt>
                <c:pt idx="47">
                  <c:v>2018</c:v>
                </c:pt>
                <c:pt idx="48">
                  <c:v>2018</c:v>
                </c:pt>
                <c:pt idx="49">
                  <c:v>2018</c:v>
                </c:pt>
                <c:pt idx="50">
                  <c:v>2018</c:v>
                </c:pt>
                <c:pt idx="51">
                  <c:v>2018</c:v>
                </c:pt>
                <c:pt idx="52">
                  <c:v>2018</c:v>
                </c:pt>
              </c:numCache>
            </c:numRef>
          </c:xVal>
          <c:yVal>
            <c:numRef>
              <c:f>Data!$M$61:$M$113</c:f>
              <c:numCache>
                <c:formatCode>0.00</c:formatCode>
                <c:ptCount val="53"/>
                <c:pt idx="0">
                  <c:v>1.3</c:v>
                </c:pt>
                <c:pt idx="6">
                  <c:v>5.5E-2</c:v>
                </c:pt>
                <c:pt idx="7">
                  <c:v>8.9999999999999993E-3</c:v>
                </c:pt>
                <c:pt idx="10">
                  <c:v>8.9999999999999993E-3</c:v>
                </c:pt>
                <c:pt idx="21">
                  <c:v>38.4</c:v>
                </c:pt>
                <c:pt idx="26">
                  <c:v>7.1</c:v>
                </c:pt>
                <c:pt idx="29">
                  <c:v>18.5</c:v>
                </c:pt>
                <c:pt idx="33">
                  <c:v>6.54</c:v>
                </c:pt>
                <c:pt idx="39">
                  <c:v>2.15</c:v>
                </c:pt>
                <c:pt idx="40">
                  <c:v>18.099999999999994</c:v>
                </c:pt>
                <c:pt idx="41">
                  <c:v>30.099999999999994</c:v>
                </c:pt>
                <c:pt idx="46">
                  <c:v>5.39</c:v>
                </c:pt>
                <c:pt idx="47" formatCode="0.0000">
                  <c:v>6.65</c:v>
                </c:pt>
                <c:pt idx="48" formatCode="0.0000">
                  <c:v>5.62</c:v>
                </c:pt>
                <c:pt idx="49" formatCode="0.0000">
                  <c:v>4.9800000000000004</c:v>
                </c:pt>
                <c:pt idx="52" formatCode="0.0000">
                  <c:v>4.2699999999999996</c:v>
                </c:pt>
              </c:numCache>
            </c:numRef>
          </c:yVal>
          <c:smooth val="0"/>
          <c:extLst>
            <c:ext xmlns:c16="http://schemas.microsoft.com/office/drawing/2014/chart" uri="{C3380CC4-5D6E-409C-BE32-E72D297353CC}">
              <c16:uniqueId val="{00000000-DFAB-45D5-B96D-42A84C808774}"/>
            </c:ext>
          </c:extLst>
        </c:ser>
        <c:ser>
          <c:idx val="1"/>
          <c:order val="1"/>
          <c:tx>
            <c:strRef>
              <c:f>Data!$N$60</c:f>
              <c:strCache>
                <c:ptCount val="1"/>
                <c:pt idx="0">
                  <c:v>Delay</c:v>
                </c:pt>
              </c:strCache>
            </c:strRef>
          </c:tx>
          <c:spPr>
            <a:ln w="25400" cap="rnd">
              <a:noFill/>
              <a:round/>
            </a:ln>
            <a:effectLst/>
          </c:spPr>
          <c:marker>
            <c:symbol val="triangle"/>
            <c:size val="7"/>
            <c:spPr>
              <a:noFill/>
              <a:ln w="9525">
                <a:solidFill>
                  <a:schemeClr val="accent2"/>
                </a:solidFill>
              </a:ln>
              <a:effectLst/>
            </c:spPr>
          </c:marker>
          <c:xVal>
            <c:numRef>
              <c:f>Data!$L$61:$L$113</c:f>
              <c:numCache>
                <c:formatCode>General</c:formatCode>
                <c:ptCount val="53"/>
                <c:pt idx="0">
                  <c:v>2000</c:v>
                </c:pt>
                <c:pt idx="1">
                  <c:v>2004</c:v>
                </c:pt>
                <c:pt idx="2">
                  <c:v>2005</c:v>
                </c:pt>
                <c:pt idx="3">
                  <c:v>2007</c:v>
                </c:pt>
                <c:pt idx="4">
                  <c:v>2008</c:v>
                </c:pt>
                <c:pt idx="5">
                  <c:v>2008</c:v>
                </c:pt>
                <c:pt idx="6">
                  <c:v>2008</c:v>
                </c:pt>
                <c:pt idx="7">
                  <c:v>2009</c:v>
                </c:pt>
                <c:pt idx="8">
                  <c:v>2010</c:v>
                </c:pt>
                <c:pt idx="9">
                  <c:v>2011</c:v>
                </c:pt>
                <c:pt idx="10">
                  <c:v>2011</c:v>
                </c:pt>
                <c:pt idx="11">
                  <c:v>2011</c:v>
                </c:pt>
                <c:pt idx="12">
                  <c:v>2012</c:v>
                </c:pt>
                <c:pt idx="13">
                  <c:v>2012</c:v>
                </c:pt>
                <c:pt idx="14">
                  <c:v>2012</c:v>
                </c:pt>
                <c:pt idx="15">
                  <c:v>2012</c:v>
                </c:pt>
                <c:pt idx="16">
                  <c:v>2012</c:v>
                </c:pt>
                <c:pt idx="17">
                  <c:v>2012</c:v>
                </c:pt>
                <c:pt idx="18">
                  <c:v>2012</c:v>
                </c:pt>
                <c:pt idx="19">
                  <c:v>2012</c:v>
                </c:pt>
                <c:pt idx="20">
                  <c:v>2013</c:v>
                </c:pt>
                <c:pt idx="21">
                  <c:v>2014</c:v>
                </c:pt>
                <c:pt idx="22">
                  <c:v>2014</c:v>
                </c:pt>
                <c:pt idx="23">
                  <c:v>2014</c:v>
                </c:pt>
                <c:pt idx="24">
                  <c:v>2014</c:v>
                </c:pt>
                <c:pt idx="25">
                  <c:v>2015</c:v>
                </c:pt>
                <c:pt idx="26">
                  <c:v>2015</c:v>
                </c:pt>
                <c:pt idx="27">
                  <c:v>2015</c:v>
                </c:pt>
                <c:pt idx="28">
                  <c:v>2015</c:v>
                </c:pt>
                <c:pt idx="29">
                  <c:v>2016</c:v>
                </c:pt>
                <c:pt idx="30">
                  <c:v>2016</c:v>
                </c:pt>
                <c:pt idx="31">
                  <c:v>2016</c:v>
                </c:pt>
                <c:pt idx="32">
                  <c:v>2016</c:v>
                </c:pt>
                <c:pt idx="33">
                  <c:v>2016</c:v>
                </c:pt>
                <c:pt idx="34">
                  <c:v>2016</c:v>
                </c:pt>
                <c:pt idx="35">
                  <c:v>2016</c:v>
                </c:pt>
                <c:pt idx="36">
                  <c:v>2017</c:v>
                </c:pt>
                <c:pt idx="37">
                  <c:v>2017</c:v>
                </c:pt>
                <c:pt idx="38">
                  <c:v>2017</c:v>
                </c:pt>
                <c:pt idx="39">
                  <c:v>2017</c:v>
                </c:pt>
                <c:pt idx="40">
                  <c:v>2017</c:v>
                </c:pt>
                <c:pt idx="41">
                  <c:v>2017</c:v>
                </c:pt>
                <c:pt idx="42">
                  <c:v>2017</c:v>
                </c:pt>
                <c:pt idx="43">
                  <c:v>2017</c:v>
                </c:pt>
                <c:pt idx="44">
                  <c:v>2017</c:v>
                </c:pt>
                <c:pt idx="45">
                  <c:v>2018</c:v>
                </c:pt>
                <c:pt idx="46">
                  <c:v>2018</c:v>
                </c:pt>
                <c:pt idx="47">
                  <c:v>2018</c:v>
                </c:pt>
                <c:pt idx="48">
                  <c:v>2018</c:v>
                </c:pt>
                <c:pt idx="49">
                  <c:v>2018</c:v>
                </c:pt>
                <c:pt idx="50">
                  <c:v>2018</c:v>
                </c:pt>
                <c:pt idx="51">
                  <c:v>2018</c:v>
                </c:pt>
                <c:pt idx="52">
                  <c:v>2018</c:v>
                </c:pt>
              </c:numCache>
            </c:numRef>
          </c:xVal>
          <c:yVal>
            <c:numRef>
              <c:f>Data!$N$61:$N$113</c:f>
              <c:numCache>
                <c:formatCode>0.00</c:formatCode>
                <c:ptCount val="53"/>
                <c:pt idx="1">
                  <c:v>2</c:v>
                </c:pt>
                <c:pt idx="2">
                  <c:v>4.82</c:v>
                </c:pt>
                <c:pt idx="14">
                  <c:v>4</c:v>
                </c:pt>
                <c:pt idx="18">
                  <c:v>2.8</c:v>
                </c:pt>
                <c:pt idx="28">
                  <c:v>9</c:v>
                </c:pt>
                <c:pt idx="32">
                  <c:v>18.16</c:v>
                </c:pt>
              </c:numCache>
            </c:numRef>
          </c:yVal>
          <c:smooth val="0"/>
          <c:extLst>
            <c:ext xmlns:c16="http://schemas.microsoft.com/office/drawing/2014/chart" uri="{C3380CC4-5D6E-409C-BE32-E72D297353CC}">
              <c16:uniqueId val="{00000001-DFAB-45D5-B96D-42A84C808774}"/>
            </c:ext>
          </c:extLst>
        </c:ser>
        <c:ser>
          <c:idx val="2"/>
          <c:order val="2"/>
          <c:tx>
            <c:strRef>
              <c:f>Data!$O$60</c:f>
              <c:strCache>
                <c:ptCount val="1"/>
                <c:pt idx="0">
                  <c:v>Memory</c:v>
                </c:pt>
              </c:strCache>
            </c:strRef>
          </c:tx>
          <c:spPr>
            <a:ln w="25400" cap="rnd">
              <a:noFill/>
              <a:round/>
            </a:ln>
            <a:effectLst/>
          </c:spPr>
          <c:marker>
            <c:symbol val="square"/>
            <c:size val="7"/>
            <c:spPr>
              <a:noFill/>
              <a:ln w="9525">
                <a:solidFill>
                  <a:schemeClr val="accent3"/>
                </a:solidFill>
              </a:ln>
              <a:effectLst/>
            </c:spPr>
          </c:marker>
          <c:xVal>
            <c:numRef>
              <c:f>Data!$L$61:$L$113</c:f>
              <c:numCache>
                <c:formatCode>General</c:formatCode>
                <c:ptCount val="53"/>
                <c:pt idx="0">
                  <c:v>2000</c:v>
                </c:pt>
                <c:pt idx="1">
                  <c:v>2004</c:v>
                </c:pt>
                <c:pt idx="2">
                  <c:v>2005</c:v>
                </c:pt>
                <c:pt idx="3">
                  <c:v>2007</c:v>
                </c:pt>
                <c:pt idx="4">
                  <c:v>2008</c:v>
                </c:pt>
                <c:pt idx="5">
                  <c:v>2008</c:v>
                </c:pt>
                <c:pt idx="6">
                  <c:v>2008</c:v>
                </c:pt>
                <c:pt idx="7">
                  <c:v>2009</c:v>
                </c:pt>
                <c:pt idx="8">
                  <c:v>2010</c:v>
                </c:pt>
                <c:pt idx="9">
                  <c:v>2011</c:v>
                </c:pt>
                <c:pt idx="10">
                  <c:v>2011</c:v>
                </c:pt>
                <c:pt idx="11">
                  <c:v>2011</c:v>
                </c:pt>
                <c:pt idx="12">
                  <c:v>2012</c:v>
                </c:pt>
                <c:pt idx="13">
                  <c:v>2012</c:v>
                </c:pt>
                <c:pt idx="14">
                  <c:v>2012</c:v>
                </c:pt>
                <c:pt idx="15">
                  <c:v>2012</c:v>
                </c:pt>
                <c:pt idx="16">
                  <c:v>2012</c:v>
                </c:pt>
                <c:pt idx="17">
                  <c:v>2012</c:v>
                </c:pt>
                <c:pt idx="18">
                  <c:v>2012</c:v>
                </c:pt>
                <c:pt idx="19">
                  <c:v>2012</c:v>
                </c:pt>
                <c:pt idx="20">
                  <c:v>2013</c:v>
                </c:pt>
                <c:pt idx="21">
                  <c:v>2014</c:v>
                </c:pt>
                <c:pt idx="22">
                  <c:v>2014</c:v>
                </c:pt>
                <c:pt idx="23">
                  <c:v>2014</c:v>
                </c:pt>
                <c:pt idx="24">
                  <c:v>2014</c:v>
                </c:pt>
                <c:pt idx="25">
                  <c:v>2015</c:v>
                </c:pt>
                <c:pt idx="26">
                  <c:v>2015</c:v>
                </c:pt>
                <c:pt idx="27">
                  <c:v>2015</c:v>
                </c:pt>
                <c:pt idx="28">
                  <c:v>2015</c:v>
                </c:pt>
                <c:pt idx="29">
                  <c:v>2016</c:v>
                </c:pt>
                <c:pt idx="30">
                  <c:v>2016</c:v>
                </c:pt>
                <c:pt idx="31">
                  <c:v>2016</c:v>
                </c:pt>
                <c:pt idx="32">
                  <c:v>2016</c:v>
                </c:pt>
                <c:pt idx="33">
                  <c:v>2016</c:v>
                </c:pt>
                <c:pt idx="34">
                  <c:v>2016</c:v>
                </c:pt>
                <c:pt idx="35">
                  <c:v>2016</c:v>
                </c:pt>
                <c:pt idx="36">
                  <c:v>2017</c:v>
                </c:pt>
                <c:pt idx="37">
                  <c:v>2017</c:v>
                </c:pt>
                <c:pt idx="38">
                  <c:v>2017</c:v>
                </c:pt>
                <c:pt idx="39">
                  <c:v>2017</c:v>
                </c:pt>
                <c:pt idx="40">
                  <c:v>2017</c:v>
                </c:pt>
                <c:pt idx="41">
                  <c:v>2017</c:v>
                </c:pt>
                <c:pt idx="42">
                  <c:v>2017</c:v>
                </c:pt>
                <c:pt idx="43">
                  <c:v>2017</c:v>
                </c:pt>
                <c:pt idx="44">
                  <c:v>2017</c:v>
                </c:pt>
                <c:pt idx="45">
                  <c:v>2018</c:v>
                </c:pt>
                <c:pt idx="46">
                  <c:v>2018</c:v>
                </c:pt>
                <c:pt idx="47">
                  <c:v>2018</c:v>
                </c:pt>
                <c:pt idx="48">
                  <c:v>2018</c:v>
                </c:pt>
                <c:pt idx="49">
                  <c:v>2018</c:v>
                </c:pt>
                <c:pt idx="50">
                  <c:v>2018</c:v>
                </c:pt>
                <c:pt idx="51">
                  <c:v>2018</c:v>
                </c:pt>
                <c:pt idx="52">
                  <c:v>2018</c:v>
                </c:pt>
              </c:numCache>
            </c:numRef>
          </c:xVal>
          <c:yVal>
            <c:numRef>
              <c:f>Data!$O$61:$O$113</c:f>
              <c:numCache>
                <c:formatCode>0.00</c:formatCode>
                <c:ptCount val="53"/>
                <c:pt idx="3">
                  <c:v>3.04</c:v>
                </c:pt>
                <c:pt idx="4">
                  <c:v>3.04</c:v>
                </c:pt>
                <c:pt idx="5">
                  <c:v>3.78</c:v>
                </c:pt>
                <c:pt idx="9">
                  <c:v>4.9000000000000004</c:v>
                </c:pt>
                <c:pt idx="11">
                  <c:v>13</c:v>
                </c:pt>
                <c:pt idx="12">
                  <c:v>5</c:v>
                </c:pt>
                <c:pt idx="13">
                  <c:v>6</c:v>
                </c:pt>
                <c:pt idx="15">
                  <c:v>3.5</c:v>
                </c:pt>
                <c:pt idx="16">
                  <c:v>10</c:v>
                </c:pt>
                <c:pt idx="17">
                  <c:v>4.5</c:v>
                </c:pt>
                <c:pt idx="31">
                  <c:v>16.66</c:v>
                </c:pt>
              </c:numCache>
            </c:numRef>
          </c:yVal>
          <c:smooth val="0"/>
          <c:extLst>
            <c:ext xmlns:c16="http://schemas.microsoft.com/office/drawing/2014/chart" uri="{C3380CC4-5D6E-409C-BE32-E72D297353CC}">
              <c16:uniqueId val="{00000002-DFAB-45D5-B96D-42A84C808774}"/>
            </c:ext>
          </c:extLst>
        </c:ser>
        <c:ser>
          <c:idx val="3"/>
          <c:order val="3"/>
          <c:tx>
            <c:strRef>
              <c:f>Data!$P$60</c:f>
              <c:strCache>
                <c:ptCount val="1"/>
                <c:pt idx="0">
                  <c:v>Metastability</c:v>
                </c:pt>
              </c:strCache>
            </c:strRef>
          </c:tx>
          <c:spPr>
            <a:ln w="28575">
              <a:noFill/>
            </a:ln>
          </c:spPr>
          <c:marker>
            <c:symbol val="star"/>
            <c:size val="7"/>
          </c:marker>
          <c:xVal>
            <c:numRef>
              <c:f>Data!$L$61:$L$113</c:f>
              <c:numCache>
                <c:formatCode>General</c:formatCode>
                <c:ptCount val="53"/>
                <c:pt idx="0">
                  <c:v>2000</c:v>
                </c:pt>
                <c:pt idx="1">
                  <c:v>2004</c:v>
                </c:pt>
                <c:pt idx="2">
                  <c:v>2005</c:v>
                </c:pt>
                <c:pt idx="3">
                  <c:v>2007</c:v>
                </c:pt>
                <c:pt idx="4">
                  <c:v>2008</c:v>
                </c:pt>
                <c:pt idx="5">
                  <c:v>2008</c:v>
                </c:pt>
                <c:pt idx="6">
                  <c:v>2008</c:v>
                </c:pt>
                <c:pt idx="7">
                  <c:v>2009</c:v>
                </c:pt>
                <c:pt idx="8">
                  <c:v>2010</c:v>
                </c:pt>
                <c:pt idx="9">
                  <c:v>2011</c:v>
                </c:pt>
                <c:pt idx="10">
                  <c:v>2011</c:v>
                </c:pt>
                <c:pt idx="11">
                  <c:v>2011</c:v>
                </c:pt>
                <c:pt idx="12">
                  <c:v>2012</c:v>
                </c:pt>
                <c:pt idx="13">
                  <c:v>2012</c:v>
                </c:pt>
                <c:pt idx="14">
                  <c:v>2012</c:v>
                </c:pt>
                <c:pt idx="15">
                  <c:v>2012</c:v>
                </c:pt>
                <c:pt idx="16">
                  <c:v>2012</c:v>
                </c:pt>
                <c:pt idx="17">
                  <c:v>2012</c:v>
                </c:pt>
                <c:pt idx="18">
                  <c:v>2012</c:v>
                </c:pt>
                <c:pt idx="19">
                  <c:v>2012</c:v>
                </c:pt>
                <c:pt idx="20">
                  <c:v>2013</c:v>
                </c:pt>
                <c:pt idx="21">
                  <c:v>2014</c:v>
                </c:pt>
                <c:pt idx="22">
                  <c:v>2014</c:v>
                </c:pt>
                <c:pt idx="23">
                  <c:v>2014</c:v>
                </c:pt>
                <c:pt idx="24">
                  <c:v>2014</c:v>
                </c:pt>
                <c:pt idx="25">
                  <c:v>2015</c:v>
                </c:pt>
                <c:pt idx="26">
                  <c:v>2015</c:v>
                </c:pt>
                <c:pt idx="27">
                  <c:v>2015</c:v>
                </c:pt>
                <c:pt idx="28">
                  <c:v>2015</c:v>
                </c:pt>
                <c:pt idx="29">
                  <c:v>2016</c:v>
                </c:pt>
                <c:pt idx="30">
                  <c:v>2016</c:v>
                </c:pt>
                <c:pt idx="31">
                  <c:v>2016</c:v>
                </c:pt>
                <c:pt idx="32">
                  <c:v>2016</c:v>
                </c:pt>
                <c:pt idx="33">
                  <c:v>2016</c:v>
                </c:pt>
                <c:pt idx="34">
                  <c:v>2016</c:v>
                </c:pt>
                <c:pt idx="35">
                  <c:v>2016</c:v>
                </c:pt>
                <c:pt idx="36">
                  <c:v>2017</c:v>
                </c:pt>
                <c:pt idx="37">
                  <c:v>2017</c:v>
                </c:pt>
                <c:pt idx="38">
                  <c:v>2017</c:v>
                </c:pt>
                <c:pt idx="39">
                  <c:v>2017</c:v>
                </c:pt>
                <c:pt idx="40">
                  <c:v>2017</c:v>
                </c:pt>
                <c:pt idx="41">
                  <c:v>2017</c:v>
                </c:pt>
                <c:pt idx="42">
                  <c:v>2017</c:v>
                </c:pt>
                <c:pt idx="43">
                  <c:v>2017</c:v>
                </c:pt>
                <c:pt idx="44">
                  <c:v>2017</c:v>
                </c:pt>
                <c:pt idx="45">
                  <c:v>2018</c:v>
                </c:pt>
                <c:pt idx="46">
                  <c:v>2018</c:v>
                </c:pt>
                <c:pt idx="47">
                  <c:v>2018</c:v>
                </c:pt>
                <c:pt idx="48">
                  <c:v>2018</c:v>
                </c:pt>
                <c:pt idx="49">
                  <c:v>2018</c:v>
                </c:pt>
                <c:pt idx="50">
                  <c:v>2018</c:v>
                </c:pt>
                <c:pt idx="51">
                  <c:v>2018</c:v>
                </c:pt>
                <c:pt idx="52">
                  <c:v>2018</c:v>
                </c:pt>
              </c:numCache>
            </c:numRef>
          </c:xVal>
          <c:yVal>
            <c:numRef>
              <c:f>Data!$P$61:$P$113</c:f>
              <c:numCache>
                <c:formatCode>0.00</c:formatCode>
                <c:ptCount val="53"/>
                <c:pt idx="22">
                  <c:v>30</c:v>
                </c:pt>
                <c:pt idx="23">
                  <c:v>12.5</c:v>
                </c:pt>
                <c:pt idx="34">
                  <c:v>26</c:v>
                </c:pt>
                <c:pt idx="42">
                  <c:v>5.76</c:v>
                </c:pt>
              </c:numCache>
            </c:numRef>
          </c:yVal>
          <c:smooth val="0"/>
          <c:extLst>
            <c:ext xmlns:c16="http://schemas.microsoft.com/office/drawing/2014/chart" uri="{C3380CC4-5D6E-409C-BE32-E72D297353CC}">
              <c16:uniqueId val="{00000003-DFAB-45D5-B96D-42A84C808774}"/>
            </c:ext>
          </c:extLst>
        </c:ser>
        <c:ser>
          <c:idx val="4"/>
          <c:order val="4"/>
          <c:tx>
            <c:strRef>
              <c:f>Data!$Q$60</c:f>
              <c:strCache>
                <c:ptCount val="1"/>
                <c:pt idx="0">
                  <c:v>Monostable</c:v>
                </c:pt>
              </c:strCache>
            </c:strRef>
          </c:tx>
          <c:spPr>
            <a:ln w="28575">
              <a:noFill/>
            </a:ln>
          </c:spPr>
          <c:marker>
            <c:symbol val="diamond"/>
            <c:size val="7"/>
            <c:spPr>
              <a:noFill/>
            </c:spPr>
          </c:marker>
          <c:xVal>
            <c:numRef>
              <c:f>Data!$L$61:$L$113</c:f>
              <c:numCache>
                <c:formatCode>General</c:formatCode>
                <c:ptCount val="53"/>
                <c:pt idx="0">
                  <c:v>2000</c:v>
                </c:pt>
                <c:pt idx="1">
                  <c:v>2004</c:v>
                </c:pt>
                <c:pt idx="2">
                  <c:v>2005</c:v>
                </c:pt>
                <c:pt idx="3">
                  <c:v>2007</c:v>
                </c:pt>
                <c:pt idx="4">
                  <c:v>2008</c:v>
                </c:pt>
                <c:pt idx="5">
                  <c:v>2008</c:v>
                </c:pt>
                <c:pt idx="6">
                  <c:v>2008</c:v>
                </c:pt>
                <c:pt idx="7">
                  <c:v>2009</c:v>
                </c:pt>
                <c:pt idx="8">
                  <c:v>2010</c:v>
                </c:pt>
                <c:pt idx="9">
                  <c:v>2011</c:v>
                </c:pt>
                <c:pt idx="10">
                  <c:v>2011</c:v>
                </c:pt>
                <c:pt idx="11">
                  <c:v>2011</c:v>
                </c:pt>
                <c:pt idx="12">
                  <c:v>2012</c:v>
                </c:pt>
                <c:pt idx="13">
                  <c:v>2012</c:v>
                </c:pt>
                <c:pt idx="14">
                  <c:v>2012</c:v>
                </c:pt>
                <c:pt idx="15">
                  <c:v>2012</c:v>
                </c:pt>
                <c:pt idx="16">
                  <c:v>2012</c:v>
                </c:pt>
                <c:pt idx="17">
                  <c:v>2012</c:v>
                </c:pt>
                <c:pt idx="18">
                  <c:v>2012</c:v>
                </c:pt>
                <c:pt idx="19">
                  <c:v>2012</c:v>
                </c:pt>
                <c:pt idx="20">
                  <c:v>2013</c:v>
                </c:pt>
                <c:pt idx="21">
                  <c:v>2014</c:v>
                </c:pt>
                <c:pt idx="22">
                  <c:v>2014</c:v>
                </c:pt>
                <c:pt idx="23">
                  <c:v>2014</c:v>
                </c:pt>
                <c:pt idx="24">
                  <c:v>2014</c:v>
                </c:pt>
                <c:pt idx="25">
                  <c:v>2015</c:v>
                </c:pt>
                <c:pt idx="26">
                  <c:v>2015</c:v>
                </c:pt>
                <c:pt idx="27">
                  <c:v>2015</c:v>
                </c:pt>
                <c:pt idx="28">
                  <c:v>2015</c:v>
                </c:pt>
                <c:pt idx="29">
                  <c:v>2016</c:v>
                </c:pt>
                <c:pt idx="30">
                  <c:v>2016</c:v>
                </c:pt>
                <c:pt idx="31">
                  <c:v>2016</c:v>
                </c:pt>
                <c:pt idx="32">
                  <c:v>2016</c:v>
                </c:pt>
                <c:pt idx="33">
                  <c:v>2016</c:v>
                </c:pt>
                <c:pt idx="34">
                  <c:v>2016</c:v>
                </c:pt>
                <c:pt idx="35">
                  <c:v>2016</c:v>
                </c:pt>
                <c:pt idx="36">
                  <c:v>2017</c:v>
                </c:pt>
                <c:pt idx="37">
                  <c:v>2017</c:v>
                </c:pt>
                <c:pt idx="38">
                  <c:v>2017</c:v>
                </c:pt>
                <c:pt idx="39">
                  <c:v>2017</c:v>
                </c:pt>
                <c:pt idx="40">
                  <c:v>2017</c:v>
                </c:pt>
                <c:pt idx="41">
                  <c:v>2017</c:v>
                </c:pt>
                <c:pt idx="42">
                  <c:v>2017</c:v>
                </c:pt>
                <c:pt idx="43">
                  <c:v>2017</c:v>
                </c:pt>
                <c:pt idx="44">
                  <c:v>2017</c:v>
                </c:pt>
                <c:pt idx="45">
                  <c:v>2018</c:v>
                </c:pt>
                <c:pt idx="46">
                  <c:v>2018</c:v>
                </c:pt>
                <c:pt idx="47">
                  <c:v>2018</c:v>
                </c:pt>
                <c:pt idx="48">
                  <c:v>2018</c:v>
                </c:pt>
                <c:pt idx="49">
                  <c:v>2018</c:v>
                </c:pt>
                <c:pt idx="50">
                  <c:v>2018</c:v>
                </c:pt>
                <c:pt idx="51">
                  <c:v>2018</c:v>
                </c:pt>
                <c:pt idx="52">
                  <c:v>2018</c:v>
                </c:pt>
              </c:numCache>
            </c:numRef>
          </c:xVal>
          <c:yVal>
            <c:numRef>
              <c:f>Data!$Q$61:$Q$113</c:f>
              <c:numCache>
                <c:formatCode>0.00</c:formatCode>
                <c:ptCount val="53"/>
                <c:pt idx="25">
                  <c:v>1.73</c:v>
                </c:pt>
                <c:pt idx="30">
                  <c:v>2.34</c:v>
                </c:pt>
                <c:pt idx="36">
                  <c:v>1.73</c:v>
                </c:pt>
                <c:pt idx="37">
                  <c:v>1.67</c:v>
                </c:pt>
                <c:pt idx="44">
                  <c:v>2.5499999999999998</c:v>
                </c:pt>
                <c:pt idx="51" formatCode="General">
                  <c:v>2.5499999999999998</c:v>
                </c:pt>
              </c:numCache>
            </c:numRef>
          </c:yVal>
          <c:smooth val="0"/>
          <c:extLst>
            <c:ext xmlns:c16="http://schemas.microsoft.com/office/drawing/2014/chart" uri="{C3380CC4-5D6E-409C-BE32-E72D297353CC}">
              <c16:uniqueId val="{00000004-DFAB-45D5-B96D-42A84C808774}"/>
            </c:ext>
          </c:extLst>
        </c:ser>
        <c:dLbls>
          <c:showLegendKey val="0"/>
          <c:showVal val="0"/>
          <c:showCatName val="0"/>
          <c:showSerName val="0"/>
          <c:showPercent val="0"/>
          <c:showBubbleSize val="0"/>
        </c:dLbls>
        <c:axId val="152337928"/>
        <c:axId val="152338320"/>
        <c:extLst/>
      </c:scatterChart>
      <c:valAx>
        <c:axId val="152337928"/>
        <c:scaling>
          <c:orientation val="minMax"/>
          <c:min val="1999"/>
        </c:scaling>
        <c:delete val="0"/>
        <c:axPos val="b"/>
        <c:title>
          <c:tx>
            <c:rich>
              <a:bodyPr rot="0" spcFirstLastPara="1" vertOverflow="ellipsis" vert="horz" wrap="square" anchor="ctr" anchorCtr="1"/>
              <a:lstStyle/>
              <a:p>
                <a:pPr>
                  <a:defRPr lang="en-US" sz="1100" b="1" i="0" u="none" strike="noStrike" kern="1200" baseline="0">
                    <a:solidFill>
                      <a:schemeClr val="tx1">
                        <a:lumMod val="65000"/>
                        <a:lumOff val="35000"/>
                      </a:schemeClr>
                    </a:solidFill>
                    <a:latin typeface="+mn-lt"/>
                    <a:ea typeface="+mn-ea"/>
                    <a:cs typeface="+mn-cs"/>
                  </a:defRPr>
                </a:pPr>
                <a:r>
                  <a:rPr lang="en-US" sz="1100" b="1"/>
                  <a:t>year</a:t>
                </a:r>
              </a:p>
            </c:rich>
          </c:tx>
          <c:overlay val="0"/>
          <c:spPr>
            <a:noFill/>
            <a:ln>
              <a:noFill/>
            </a:ln>
            <a:effectLst/>
          </c:spPr>
        </c:title>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lang="en-US" sz="900" b="1" i="0" u="none" strike="noStrike" kern="1200" baseline="0">
                <a:solidFill>
                  <a:schemeClr val="tx1">
                    <a:lumMod val="65000"/>
                    <a:lumOff val="35000"/>
                  </a:schemeClr>
                </a:solidFill>
                <a:latin typeface="+mn-lt"/>
                <a:ea typeface="+mn-ea"/>
                <a:cs typeface="+mn-cs"/>
              </a:defRPr>
            </a:pPr>
            <a:endParaRPr lang="en-US"/>
          </a:p>
        </c:txPr>
        <c:crossAx val="152338320"/>
        <c:crosses val="autoZero"/>
        <c:crossBetween val="midCat"/>
      </c:valAx>
      <c:valAx>
        <c:axId val="152338320"/>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lang="en-US" sz="1100" b="1" i="0" u="none" strike="noStrike" kern="1200" baseline="0">
                    <a:solidFill>
                      <a:schemeClr val="tx1">
                        <a:lumMod val="65000"/>
                        <a:lumOff val="35000"/>
                      </a:schemeClr>
                    </a:solidFill>
                    <a:latin typeface="+mn-lt"/>
                    <a:ea typeface="+mn-ea"/>
                    <a:cs typeface="+mn-cs"/>
                  </a:defRPr>
                </a:pPr>
                <a:r>
                  <a:rPr lang="en-US" sz="1100" b="1"/>
                  <a:t>native</a:t>
                </a:r>
                <a:r>
                  <a:rPr lang="en-US" sz="1100" b="1" baseline="0"/>
                  <a:t> i</a:t>
                </a:r>
                <a:r>
                  <a:rPr lang="en-US" sz="1100" b="1"/>
                  <a:t>nstability rate (%)</a:t>
                </a:r>
              </a:p>
            </c:rich>
          </c:tx>
          <c:overlay val="0"/>
          <c:spPr>
            <a:noFill/>
            <a:ln>
              <a:noFill/>
            </a:ln>
            <a:effectLst/>
          </c:spPr>
        </c:title>
        <c:numFmt formatCode="0" sourceLinked="0"/>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lang="en-US" sz="900" b="1" i="0" u="none" strike="noStrike" kern="1200" baseline="0">
                <a:solidFill>
                  <a:schemeClr val="tx1">
                    <a:lumMod val="65000"/>
                    <a:lumOff val="35000"/>
                  </a:schemeClr>
                </a:solidFill>
                <a:latin typeface="+mn-lt"/>
                <a:ea typeface="+mn-ea"/>
                <a:cs typeface="+mn-cs"/>
              </a:defRPr>
            </a:pPr>
            <a:endParaRPr lang="en-US"/>
          </a:p>
        </c:txPr>
        <c:crossAx val="152337928"/>
        <c:crosses val="autoZero"/>
        <c:crossBetween val="midCat"/>
      </c:valAx>
      <c:spPr>
        <a:noFill/>
        <a:ln>
          <a:solidFill>
            <a:schemeClr val="bg1">
              <a:lumMod val="50000"/>
            </a:schemeClr>
          </a:solidFill>
        </a:ln>
        <a:effectLst/>
      </c:spPr>
    </c:plotArea>
    <c:legend>
      <c:legendPos val="b"/>
      <c:overlay val="0"/>
      <c:spPr>
        <a:noFill/>
        <a:ln>
          <a:noFill/>
        </a:ln>
        <a:effectLst/>
      </c:spPr>
      <c:txPr>
        <a:bodyPr rot="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000000000000233" l="0.70000000000000062" r="0.70000000000000062" t="0.750000000000002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600" b="1" i="0" u="none" strike="noStrike" kern="1200" spc="0" baseline="0">
                <a:solidFill>
                  <a:schemeClr val="tx1">
                    <a:lumMod val="65000"/>
                    <a:lumOff val="35000"/>
                  </a:schemeClr>
                </a:solidFill>
                <a:latin typeface="+mn-lt"/>
                <a:ea typeface="+mn-ea"/>
                <a:cs typeface="+mn-cs"/>
              </a:defRPr>
            </a:pPr>
            <a:r>
              <a:rPr lang="en-SG" sz="1600" b="1"/>
              <a:t>Energy per bit</a:t>
            </a:r>
          </a:p>
        </c:rich>
      </c:tx>
      <c:overlay val="0"/>
      <c:spPr>
        <a:noFill/>
        <a:ln>
          <a:noFill/>
        </a:ln>
        <a:effectLst/>
      </c:spPr>
    </c:title>
    <c:autoTitleDeleted val="0"/>
    <c:plotArea>
      <c:layout/>
      <c:scatterChart>
        <c:scatterStyle val="lineMarker"/>
        <c:varyColors val="0"/>
        <c:ser>
          <c:idx val="0"/>
          <c:order val="0"/>
          <c:tx>
            <c:strRef>
              <c:f>Data!$M$122</c:f>
              <c:strCache>
                <c:ptCount val="1"/>
                <c:pt idx="0">
                  <c:v>Analog</c:v>
                </c:pt>
              </c:strCache>
            </c:strRef>
          </c:tx>
          <c:spPr>
            <a:ln w="25400" cap="rnd">
              <a:noFill/>
              <a:round/>
            </a:ln>
            <a:effectLst/>
          </c:spPr>
          <c:marker>
            <c:symbol val="circle"/>
            <c:size val="7"/>
            <c:spPr>
              <a:noFill/>
              <a:ln w="9525">
                <a:solidFill>
                  <a:schemeClr val="accent1"/>
                </a:solidFill>
              </a:ln>
              <a:effectLst/>
            </c:spPr>
          </c:marker>
          <c:xVal>
            <c:numRef>
              <c:f>Data!$L$123:$L$175</c:f>
              <c:numCache>
                <c:formatCode>General</c:formatCode>
                <c:ptCount val="53"/>
                <c:pt idx="0">
                  <c:v>2000</c:v>
                </c:pt>
                <c:pt idx="1">
                  <c:v>2004</c:v>
                </c:pt>
                <c:pt idx="2">
                  <c:v>2005</c:v>
                </c:pt>
                <c:pt idx="3">
                  <c:v>2007</c:v>
                </c:pt>
                <c:pt idx="4">
                  <c:v>2008</c:v>
                </c:pt>
                <c:pt idx="5">
                  <c:v>2008</c:v>
                </c:pt>
                <c:pt idx="6">
                  <c:v>2008</c:v>
                </c:pt>
                <c:pt idx="7">
                  <c:v>2009</c:v>
                </c:pt>
                <c:pt idx="8">
                  <c:v>2010</c:v>
                </c:pt>
                <c:pt idx="9">
                  <c:v>2011</c:v>
                </c:pt>
                <c:pt idx="10">
                  <c:v>2011</c:v>
                </c:pt>
                <c:pt idx="11">
                  <c:v>2011</c:v>
                </c:pt>
                <c:pt idx="12">
                  <c:v>2012</c:v>
                </c:pt>
                <c:pt idx="13">
                  <c:v>2012</c:v>
                </c:pt>
                <c:pt idx="14">
                  <c:v>2012</c:v>
                </c:pt>
                <c:pt idx="15">
                  <c:v>2012</c:v>
                </c:pt>
                <c:pt idx="16">
                  <c:v>2012</c:v>
                </c:pt>
                <c:pt idx="17">
                  <c:v>2012</c:v>
                </c:pt>
                <c:pt idx="18">
                  <c:v>2012</c:v>
                </c:pt>
                <c:pt idx="19">
                  <c:v>2012</c:v>
                </c:pt>
                <c:pt idx="20">
                  <c:v>2013</c:v>
                </c:pt>
                <c:pt idx="21">
                  <c:v>2014</c:v>
                </c:pt>
                <c:pt idx="22">
                  <c:v>2014</c:v>
                </c:pt>
                <c:pt idx="23">
                  <c:v>2014</c:v>
                </c:pt>
                <c:pt idx="24">
                  <c:v>2014</c:v>
                </c:pt>
                <c:pt idx="25">
                  <c:v>2015</c:v>
                </c:pt>
                <c:pt idx="26">
                  <c:v>2015</c:v>
                </c:pt>
                <c:pt idx="27">
                  <c:v>2015</c:v>
                </c:pt>
                <c:pt idx="28">
                  <c:v>2015</c:v>
                </c:pt>
                <c:pt idx="29">
                  <c:v>2016</c:v>
                </c:pt>
                <c:pt idx="30">
                  <c:v>2016</c:v>
                </c:pt>
                <c:pt idx="31">
                  <c:v>2016</c:v>
                </c:pt>
                <c:pt idx="32">
                  <c:v>2016</c:v>
                </c:pt>
                <c:pt idx="33">
                  <c:v>2016</c:v>
                </c:pt>
                <c:pt idx="34">
                  <c:v>2016</c:v>
                </c:pt>
                <c:pt idx="35">
                  <c:v>2016</c:v>
                </c:pt>
                <c:pt idx="36">
                  <c:v>2017</c:v>
                </c:pt>
                <c:pt idx="37">
                  <c:v>2017</c:v>
                </c:pt>
                <c:pt idx="38">
                  <c:v>2017</c:v>
                </c:pt>
                <c:pt idx="39">
                  <c:v>2017</c:v>
                </c:pt>
                <c:pt idx="40">
                  <c:v>2017</c:v>
                </c:pt>
                <c:pt idx="41">
                  <c:v>2017</c:v>
                </c:pt>
                <c:pt idx="42">
                  <c:v>2017</c:v>
                </c:pt>
                <c:pt idx="43">
                  <c:v>2017</c:v>
                </c:pt>
                <c:pt idx="44">
                  <c:v>2017</c:v>
                </c:pt>
                <c:pt idx="45">
                  <c:v>2018</c:v>
                </c:pt>
                <c:pt idx="46">
                  <c:v>2018</c:v>
                </c:pt>
                <c:pt idx="47">
                  <c:v>2018</c:v>
                </c:pt>
                <c:pt idx="48">
                  <c:v>2018</c:v>
                </c:pt>
                <c:pt idx="49">
                  <c:v>2018</c:v>
                </c:pt>
                <c:pt idx="50">
                  <c:v>2018</c:v>
                </c:pt>
                <c:pt idx="51">
                  <c:v>2018</c:v>
                </c:pt>
                <c:pt idx="52">
                  <c:v>2018</c:v>
                </c:pt>
              </c:numCache>
            </c:numRef>
          </c:xVal>
          <c:yVal>
            <c:numRef>
              <c:f>Data!$M$123:$M$175</c:f>
              <c:numCache>
                <c:formatCode>0.0000</c:formatCode>
                <c:ptCount val="53"/>
                <c:pt idx="0">
                  <c:v>8333.3333333333339</c:v>
                </c:pt>
                <c:pt idx="6">
                  <c:v>39.0625</c:v>
                </c:pt>
                <c:pt idx="7">
                  <c:v>49.479166666666664</c:v>
                </c:pt>
                <c:pt idx="8">
                  <c:v>0.34</c:v>
                </c:pt>
                <c:pt idx="10">
                  <c:v>49.479166666666664</c:v>
                </c:pt>
                <c:pt idx="26">
                  <c:v>1.1000000000000001</c:v>
                </c:pt>
                <c:pt idx="33" formatCode="General">
                  <c:v>6.02</c:v>
                </c:pt>
                <c:pt idx="38" formatCode="General">
                  <c:v>3.36</c:v>
                </c:pt>
                <c:pt idx="40" formatCode="General">
                  <c:v>34.5</c:v>
                </c:pt>
                <c:pt idx="41" formatCode="General">
                  <c:v>34.5</c:v>
                </c:pt>
                <c:pt idx="43" formatCode="General">
                  <c:v>11</c:v>
                </c:pt>
                <c:pt idx="45" formatCode="General">
                  <c:v>5.2</c:v>
                </c:pt>
                <c:pt idx="46" formatCode="General">
                  <c:v>0.38</c:v>
                </c:pt>
                <c:pt idx="47" formatCode="General">
                  <c:v>9.8000000000000007</c:v>
                </c:pt>
                <c:pt idx="48" formatCode="General">
                  <c:v>3.6</c:v>
                </c:pt>
                <c:pt idx="52" formatCode="General">
                  <c:v>12</c:v>
                </c:pt>
              </c:numCache>
            </c:numRef>
          </c:yVal>
          <c:smooth val="0"/>
          <c:extLst>
            <c:ext xmlns:c16="http://schemas.microsoft.com/office/drawing/2014/chart" uri="{C3380CC4-5D6E-409C-BE32-E72D297353CC}">
              <c16:uniqueId val="{00000000-1049-4841-BFF6-5F532DC6C712}"/>
            </c:ext>
          </c:extLst>
        </c:ser>
        <c:ser>
          <c:idx val="1"/>
          <c:order val="1"/>
          <c:tx>
            <c:strRef>
              <c:f>Data!$N$122</c:f>
              <c:strCache>
                <c:ptCount val="1"/>
                <c:pt idx="0">
                  <c:v>Delay</c:v>
                </c:pt>
              </c:strCache>
            </c:strRef>
          </c:tx>
          <c:spPr>
            <a:ln w="25400" cap="rnd">
              <a:noFill/>
              <a:round/>
            </a:ln>
            <a:effectLst/>
          </c:spPr>
          <c:marker>
            <c:symbol val="triangle"/>
            <c:size val="7"/>
            <c:spPr>
              <a:noFill/>
              <a:ln w="9525">
                <a:solidFill>
                  <a:schemeClr val="accent2"/>
                </a:solidFill>
              </a:ln>
              <a:effectLst/>
            </c:spPr>
          </c:marker>
          <c:dPt>
            <c:idx val="2"/>
            <c:bubble3D val="0"/>
            <c:extLst>
              <c:ext xmlns:c16="http://schemas.microsoft.com/office/drawing/2014/chart" uri="{C3380CC4-5D6E-409C-BE32-E72D297353CC}">
                <c16:uniqueId val="{00000000-2251-4070-BC84-5F7535FB3ACB}"/>
              </c:ext>
            </c:extLst>
          </c:dPt>
          <c:dPt>
            <c:idx val="23"/>
            <c:bubble3D val="0"/>
            <c:extLst>
              <c:ext xmlns:c16="http://schemas.microsoft.com/office/drawing/2014/chart" uri="{C3380CC4-5D6E-409C-BE32-E72D297353CC}">
                <c16:uniqueId val="{00000001-2251-4070-BC84-5F7535FB3ACB}"/>
              </c:ext>
            </c:extLst>
          </c:dPt>
          <c:dPt>
            <c:idx val="27"/>
            <c:bubble3D val="0"/>
            <c:extLst>
              <c:ext xmlns:c16="http://schemas.microsoft.com/office/drawing/2014/chart" uri="{C3380CC4-5D6E-409C-BE32-E72D297353CC}">
                <c16:uniqueId val="{00000002-2251-4070-BC84-5F7535FB3ACB}"/>
              </c:ext>
            </c:extLst>
          </c:dPt>
          <c:xVal>
            <c:numRef>
              <c:f>Data!$L$123:$L$175</c:f>
              <c:numCache>
                <c:formatCode>General</c:formatCode>
                <c:ptCount val="53"/>
                <c:pt idx="0">
                  <c:v>2000</c:v>
                </c:pt>
                <c:pt idx="1">
                  <c:v>2004</c:v>
                </c:pt>
                <c:pt idx="2">
                  <c:v>2005</c:v>
                </c:pt>
                <c:pt idx="3">
                  <c:v>2007</c:v>
                </c:pt>
                <c:pt idx="4">
                  <c:v>2008</c:v>
                </c:pt>
                <c:pt idx="5">
                  <c:v>2008</c:v>
                </c:pt>
                <c:pt idx="6">
                  <c:v>2008</c:v>
                </c:pt>
                <c:pt idx="7">
                  <c:v>2009</c:v>
                </c:pt>
                <c:pt idx="8">
                  <c:v>2010</c:v>
                </c:pt>
                <c:pt idx="9">
                  <c:v>2011</c:v>
                </c:pt>
                <c:pt idx="10">
                  <c:v>2011</c:v>
                </c:pt>
                <c:pt idx="11">
                  <c:v>2011</c:v>
                </c:pt>
                <c:pt idx="12">
                  <c:v>2012</c:v>
                </c:pt>
                <c:pt idx="13">
                  <c:v>2012</c:v>
                </c:pt>
                <c:pt idx="14">
                  <c:v>2012</c:v>
                </c:pt>
                <c:pt idx="15">
                  <c:v>2012</c:v>
                </c:pt>
                <c:pt idx="16">
                  <c:v>2012</c:v>
                </c:pt>
                <c:pt idx="17">
                  <c:v>2012</c:v>
                </c:pt>
                <c:pt idx="18">
                  <c:v>2012</c:v>
                </c:pt>
                <c:pt idx="19">
                  <c:v>2012</c:v>
                </c:pt>
                <c:pt idx="20">
                  <c:v>2013</c:v>
                </c:pt>
                <c:pt idx="21">
                  <c:v>2014</c:v>
                </c:pt>
                <c:pt idx="22">
                  <c:v>2014</c:v>
                </c:pt>
                <c:pt idx="23">
                  <c:v>2014</c:v>
                </c:pt>
                <c:pt idx="24">
                  <c:v>2014</c:v>
                </c:pt>
                <c:pt idx="25">
                  <c:v>2015</c:v>
                </c:pt>
                <c:pt idx="26">
                  <c:v>2015</c:v>
                </c:pt>
                <c:pt idx="27">
                  <c:v>2015</c:v>
                </c:pt>
                <c:pt idx="28">
                  <c:v>2015</c:v>
                </c:pt>
                <c:pt idx="29">
                  <c:v>2016</c:v>
                </c:pt>
                <c:pt idx="30">
                  <c:v>2016</c:v>
                </c:pt>
                <c:pt idx="31">
                  <c:v>2016</c:v>
                </c:pt>
                <c:pt idx="32">
                  <c:v>2016</c:v>
                </c:pt>
                <c:pt idx="33">
                  <c:v>2016</c:v>
                </c:pt>
                <c:pt idx="34">
                  <c:v>2016</c:v>
                </c:pt>
                <c:pt idx="35">
                  <c:v>2016</c:v>
                </c:pt>
                <c:pt idx="36">
                  <c:v>2017</c:v>
                </c:pt>
                <c:pt idx="37">
                  <c:v>2017</c:v>
                </c:pt>
                <c:pt idx="38">
                  <c:v>2017</c:v>
                </c:pt>
                <c:pt idx="39">
                  <c:v>2017</c:v>
                </c:pt>
                <c:pt idx="40">
                  <c:v>2017</c:v>
                </c:pt>
                <c:pt idx="41">
                  <c:v>2017</c:v>
                </c:pt>
                <c:pt idx="42">
                  <c:v>2017</c:v>
                </c:pt>
                <c:pt idx="43">
                  <c:v>2017</c:v>
                </c:pt>
                <c:pt idx="44">
                  <c:v>2017</c:v>
                </c:pt>
                <c:pt idx="45">
                  <c:v>2018</c:v>
                </c:pt>
                <c:pt idx="46">
                  <c:v>2018</c:v>
                </c:pt>
                <c:pt idx="47">
                  <c:v>2018</c:v>
                </c:pt>
                <c:pt idx="48">
                  <c:v>2018</c:v>
                </c:pt>
                <c:pt idx="49">
                  <c:v>2018</c:v>
                </c:pt>
                <c:pt idx="50">
                  <c:v>2018</c:v>
                </c:pt>
                <c:pt idx="51">
                  <c:v>2018</c:v>
                </c:pt>
                <c:pt idx="52">
                  <c:v>2018</c:v>
                </c:pt>
              </c:numCache>
            </c:numRef>
          </c:xVal>
          <c:yVal>
            <c:numRef>
              <c:f>Data!$N$123:$N$175</c:f>
              <c:numCache>
                <c:formatCode>0.0000</c:formatCode>
                <c:ptCount val="53"/>
                <c:pt idx="2">
                  <c:v>0.17125000000000001</c:v>
                </c:pt>
                <c:pt idx="28">
                  <c:v>17.75</c:v>
                </c:pt>
                <c:pt idx="32" formatCode="General">
                  <c:v>0.47499999999999998</c:v>
                </c:pt>
              </c:numCache>
            </c:numRef>
          </c:yVal>
          <c:smooth val="0"/>
          <c:extLst>
            <c:ext xmlns:c16="http://schemas.microsoft.com/office/drawing/2014/chart" uri="{C3380CC4-5D6E-409C-BE32-E72D297353CC}">
              <c16:uniqueId val="{00000001-1049-4841-BFF6-5F532DC6C712}"/>
            </c:ext>
          </c:extLst>
        </c:ser>
        <c:ser>
          <c:idx val="2"/>
          <c:order val="2"/>
          <c:tx>
            <c:strRef>
              <c:f>Data!$O$122</c:f>
              <c:strCache>
                <c:ptCount val="1"/>
                <c:pt idx="0">
                  <c:v>Memory</c:v>
                </c:pt>
              </c:strCache>
            </c:strRef>
          </c:tx>
          <c:spPr>
            <a:ln w="25400" cap="rnd">
              <a:noFill/>
              <a:round/>
            </a:ln>
            <a:effectLst/>
          </c:spPr>
          <c:marker>
            <c:symbol val="square"/>
            <c:size val="7"/>
            <c:spPr>
              <a:noFill/>
              <a:ln w="9525">
                <a:solidFill>
                  <a:schemeClr val="accent3"/>
                </a:solidFill>
              </a:ln>
              <a:effectLst/>
            </c:spPr>
          </c:marker>
          <c:xVal>
            <c:numRef>
              <c:f>Data!$L$123:$L$175</c:f>
              <c:numCache>
                <c:formatCode>General</c:formatCode>
                <c:ptCount val="53"/>
                <c:pt idx="0">
                  <c:v>2000</c:v>
                </c:pt>
                <c:pt idx="1">
                  <c:v>2004</c:v>
                </c:pt>
                <c:pt idx="2">
                  <c:v>2005</c:v>
                </c:pt>
                <c:pt idx="3">
                  <c:v>2007</c:v>
                </c:pt>
                <c:pt idx="4">
                  <c:v>2008</c:v>
                </c:pt>
                <c:pt idx="5">
                  <c:v>2008</c:v>
                </c:pt>
                <c:pt idx="6">
                  <c:v>2008</c:v>
                </c:pt>
                <c:pt idx="7">
                  <c:v>2009</c:v>
                </c:pt>
                <c:pt idx="8">
                  <c:v>2010</c:v>
                </c:pt>
                <c:pt idx="9">
                  <c:v>2011</c:v>
                </c:pt>
                <c:pt idx="10">
                  <c:v>2011</c:v>
                </c:pt>
                <c:pt idx="11">
                  <c:v>2011</c:v>
                </c:pt>
                <c:pt idx="12">
                  <c:v>2012</c:v>
                </c:pt>
                <c:pt idx="13">
                  <c:v>2012</c:v>
                </c:pt>
                <c:pt idx="14">
                  <c:v>2012</c:v>
                </c:pt>
                <c:pt idx="15">
                  <c:v>2012</c:v>
                </c:pt>
                <c:pt idx="16">
                  <c:v>2012</c:v>
                </c:pt>
                <c:pt idx="17">
                  <c:v>2012</c:v>
                </c:pt>
                <c:pt idx="18">
                  <c:v>2012</c:v>
                </c:pt>
                <c:pt idx="19">
                  <c:v>2012</c:v>
                </c:pt>
                <c:pt idx="20">
                  <c:v>2013</c:v>
                </c:pt>
                <c:pt idx="21">
                  <c:v>2014</c:v>
                </c:pt>
                <c:pt idx="22">
                  <c:v>2014</c:v>
                </c:pt>
                <c:pt idx="23">
                  <c:v>2014</c:v>
                </c:pt>
                <c:pt idx="24">
                  <c:v>2014</c:v>
                </c:pt>
                <c:pt idx="25">
                  <c:v>2015</c:v>
                </c:pt>
                <c:pt idx="26">
                  <c:v>2015</c:v>
                </c:pt>
                <c:pt idx="27">
                  <c:v>2015</c:v>
                </c:pt>
                <c:pt idx="28">
                  <c:v>2015</c:v>
                </c:pt>
                <c:pt idx="29">
                  <c:v>2016</c:v>
                </c:pt>
                <c:pt idx="30">
                  <c:v>2016</c:v>
                </c:pt>
                <c:pt idx="31">
                  <c:v>2016</c:v>
                </c:pt>
                <c:pt idx="32">
                  <c:v>2016</c:v>
                </c:pt>
                <c:pt idx="33">
                  <c:v>2016</c:v>
                </c:pt>
                <c:pt idx="34">
                  <c:v>2016</c:v>
                </c:pt>
                <c:pt idx="35">
                  <c:v>2016</c:v>
                </c:pt>
                <c:pt idx="36">
                  <c:v>2017</c:v>
                </c:pt>
                <c:pt idx="37">
                  <c:v>2017</c:v>
                </c:pt>
                <c:pt idx="38">
                  <c:v>2017</c:v>
                </c:pt>
                <c:pt idx="39">
                  <c:v>2017</c:v>
                </c:pt>
                <c:pt idx="40">
                  <c:v>2017</c:v>
                </c:pt>
                <c:pt idx="41">
                  <c:v>2017</c:v>
                </c:pt>
                <c:pt idx="42">
                  <c:v>2017</c:v>
                </c:pt>
                <c:pt idx="43">
                  <c:v>2017</c:v>
                </c:pt>
                <c:pt idx="44">
                  <c:v>2017</c:v>
                </c:pt>
                <c:pt idx="45">
                  <c:v>2018</c:v>
                </c:pt>
                <c:pt idx="46">
                  <c:v>2018</c:v>
                </c:pt>
                <c:pt idx="47">
                  <c:v>2018</c:v>
                </c:pt>
                <c:pt idx="48">
                  <c:v>2018</c:v>
                </c:pt>
                <c:pt idx="49">
                  <c:v>2018</c:v>
                </c:pt>
                <c:pt idx="50">
                  <c:v>2018</c:v>
                </c:pt>
                <c:pt idx="51">
                  <c:v>2018</c:v>
                </c:pt>
                <c:pt idx="52">
                  <c:v>2018</c:v>
                </c:pt>
              </c:numCache>
            </c:numRef>
          </c:xVal>
          <c:yVal>
            <c:numRef>
              <c:f>Data!$O$123:$O$175</c:f>
              <c:numCache>
                <c:formatCode>General</c:formatCode>
                <c:ptCount val="53"/>
                <c:pt idx="3">
                  <c:v>0.93</c:v>
                </c:pt>
                <c:pt idx="4">
                  <c:v>0.93</c:v>
                </c:pt>
                <c:pt idx="5">
                  <c:v>0.93</c:v>
                </c:pt>
                <c:pt idx="31">
                  <c:v>1.1000000000000001</c:v>
                </c:pt>
              </c:numCache>
            </c:numRef>
          </c:yVal>
          <c:smooth val="0"/>
          <c:extLst>
            <c:ext xmlns:c16="http://schemas.microsoft.com/office/drawing/2014/chart" uri="{C3380CC4-5D6E-409C-BE32-E72D297353CC}">
              <c16:uniqueId val="{00000002-1049-4841-BFF6-5F532DC6C712}"/>
            </c:ext>
          </c:extLst>
        </c:ser>
        <c:ser>
          <c:idx val="3"/>
          <c:order val="3"/>
          <c:tx>
            <c:strRef>
              <c:f>Data!$P$122</c:f>
              <c:strCache>
                <c:ptCount val="1"/>
                <c:pt idx="0">
                  <c:v>Metastability</c:v>
                </c:pt>
              </c:strCache>
            </c:strRef>
          </c:tx>
          <c:spPr>
            <a:ln w="28575">
              <a:noFill/>
            </a:ln>
          </c:spPr>
          <c:marker>
            <c:symbol val="star"/>
            <c:size val="7"/>
          </c:marker>
          <c:xVal>
            <c:numRef>
              <c:f>Data!$L$123:$L$175</c:f>
              <c:numCache>
                <c:formatCode>General</c:formatCode>
                <c:ptCount val="53"/>
                <c:pt idx="0">
                  <c:v>2000</c:v>
                </c:pt>
                <c:pt idx="1">
                  <c:v>2004</c:v>
                </c:pt>
                <c:pt idx="2">
                  <c:v>2005</c:v>
                </c:pt>
                <c:pt idx="3">
                  <c:v>2007</c:v>
                </c:pt>
                <c:pt idx="4">
                  <c:v>2008</c:v>
                </c:pt>
                <c:pt idx="5">
                  <c:v>2008</c:v>
                </c:pt>
                <c:pt idx="6">
                  <c:v>2008</c:v>
                </c:pt>
                <c:pt idx="7">
                  <c:v>2009</c:v>
                </c:pt>
                <c:pt idx="8">
                  <c:v>2010</c:v>
                </c:pt>
                <c:pt idx="9">
                  <c:v>2011</c:v>
                </c:pt>
                <c:pt idx="10">
                  <c:v>2011</c:v>
                </c:pt>
                <c:pt idx="11">
                  <c:v>2011</c:v>
                </c:pt>
                <c:pt idx="12">
                  <c:v>2012</c:v>
                </c:pt>
                <c:pt idx="13">
                  <c:v>2012</c:v>
                </c:pt>
                <c:pt idx="14">
                  <c:v>2012</c:v>
                </c:pt>
                <c:pt idx="15">
                  <c:v>2012</c:v>
                </c:pt>
                <c:pt idx="16">
                  <c:v>2012</c:v>
                </c:pt>
                <c:pt idx="17">
                  <c:v>2012</c:v>
                </c:pt>
                <c:pt idx="18">
                  <c:v>2012</c:v>
                </c:pt>
                <c:pt idx="19">
                  <c:v>2012</c:v>
                </c:pt>
                <c:pt idx="20">
                  <c:v>2013</c:v>
                </c:pt>
                <c:pt idx="21">
                  <c:v>2014</c:v>
                </c:pt>
                <c:pt idx="22">
                  <c:v>2014</c:v>
                </c:pt>
                <c:pt idx="23">
                  <c:v>2014</c:v>
                </c:pt>
                <c:pt idx="24">
                  <c:v>2014</c:v>
                </c:pt>
                <c:pt idx="25">
                  <c:v>2015</c:v>
                </c:pt>
                <c:pt idx="26">
                  <c:v>2015</c:v>
                </c:pt>
                <c:pt idx="27">
                  <c:v>2015</c:v>
                </c:pt>
                <c:pt idx="28">
                  <c:v>2015</c:v>
                </c:pt>
                <c:pt idx="29">
                  <c:v>2016</c:v>
                </c:pt>
                <c:pt idx="30">
                  <c:v>2016</c:v>
                </c:pt>
                <c:pt idx="31">
                  <c:v>2016</c:v>
                </c:pt>
                <c:pt idx="32">
                  <c:v>2016</c:v>
                </c:pt>
                <c:pt idx="33">
                  <c:v>2016</c:v>
                </c:pt>
                <c:pt idx="34">
                  <c:v>2016</c:v>
                </c:pt>
                <c:pt idx="35">
                  <c:v>2016</c:v>
                </c:pt>
                <c:pt idx="36">
                  <c:v>2017</c:v>
                </c:pt>
                <c:pt idx="37">
                  <c:v>2017</c:v>
                </c:pt>
                <c:pt idx="38">
                  <c:v>2017</c:v>
                </c:pt>
                <c:pt idx="39">
                  <c:v>2017</c:v>
                </c:pt>
                <c:pt idx="40">
                  <c:v>2017</c:v>
                </c:pt>
                <c:pt idx="41">
                  <c:v>2017</c:v>
                </c:pt>
                <c:pt idx="42">
                  <c:v>2017</c:v>
                </c:pt>
                <c:pt idx="43">
                  <c:v>2017</c:v>
                </c:pt>
                <c:pt idx="44">
                  <c:v>2017</c:v>
                </c:pt>
                <c:pt idx="45">
                  <c:v>2018</c:v>
                </c:pt>
                <c:pt idx="46">
                  <c:v>2018</c:v>
                </c:pt>
                <c:pt idx="47">
                  <c:v>2018</c:v>
                </c:pt>
                <c:pt idx="48">
                  <c:v>2018</c:v>
                </c:pt>
                <c:pt idx="49">
                  <c:v>2018</c:v>
                </c:pt>
                <c:pt idx="50">
                  <c:v>2018</c:v>
                </c:pt>
                <c:pt idx="51">
                  <c:v>2018</c:v>
                </c:pt>
                <c:pt idx="52">
                  <c:v>2018</c:v>
                </c:pt>
              </c:numCache>
            </c:numRef>
          </c:xVal>
          <c:yVal>
            <c:numRef>
              <c:f>Data!$P$123:$P$175</c:f>
              <c:numCache>
                <c:formatCode>General</c:formatCode>
                <c:ptCount val="53"/>
                <c:pt idx="22">
                  <c:v>0.19</c:v>
                </c:pt>
                <c:pt idx="23">
                  <c:v>1.2999999999999999E-2</c:v>
                </c:pt>
                <c:pt idx="34">
                  <c:v>4.0000000000000001E-3</c:v>
                </c:pt>
              </c:numCache>
            </c:numRef>
          </c:yVal>
          <c:smooth val="0"/>
          <c:extLst>
            <c:ext xmlns:c16="http://schemas.microsoft.com/office/drawing/2014/chart" uri="{C3380CC4-5D6E-409C-BE32-E72D297353CC}">
              <c16:uniqueId val="{00000003-1049-4841-BFF6-5F532DC6C712}"/>
            </c:ext>
          </c:extLst>
        </c:ser>
        <c:ser>
          <c:idx val="4"/>
          <c:order val="4"/>
          <c:tx>
            <c:strRef>
              <c:f>Data!$Q$122</c:f>
              <c:strCache>
                <c:ptCount val="1"/>
                <c:pt idx="0">
                  <c:v>Monostable</c:v>
                </c:pt>
              </c:strCache>
            </c:strRef>
          </c:tx>
          <c:spPr>
            <a:ln w="28575">
              <a:noFill/>
            </a:ln>
          </c:spPr>
          <c:marker>
            <c:symbol val="diamond"/>
            <c:size val="7"/>
            <c:spPr>
              <a:noFill/>
            </c:spPr>
          </c:marker>
          <c:xVal>
            <c:numRef>
              <c:f>Data!$L$123:$L$175</c:f>
              <c:numCache>
                <c:formatCode>General</c:formatCode>
                <c:ptCount val="53"/>
                <c:pt idx="0">
                  <c:v>2000</c:v>
                </c:pt>
                <c:pt idx="1">
                  <c:v>2004</c:v>
                </c:pt>
                <c:pt idx="2">
                  <c:v>2005</c:v>
                </c:pt>
                <c:pt idx="3">
                  <c:v>2007</c:v>
                </c:pt>
                <c:pt idx="4">
                  <c:v>2008</c:v>
                </c:pt>
                <c:pt idx="5">
                  <c:v>2008</c:v>
                </c:pt>
                <c:pt idx="6">
                  <c:v>2008</c:v>
                </c:pt>
                <c:pt idx="7">
                  <c:v>2009</c:v>
                </c:pt>
                <c:pt idx="8">
                  <c:v>2010</c:v>
                </c:pt>
                <c:pt idx="9">
                  <c:v>2011</c:v>
                </c:pt>
                <c:pt idx="10">
                  <c:v>2011</c:v>
                </c:pt>
                <c:pt idx="11">
                  <c:v>2011</c:v>
                </c:pt>
                <c:pt idx="12">
                  <c:v>2012</c:v>
                </c:pt>
                <c:pt idx="13">
                  <c:v>2012</c:v>
                </c:pt>
                <c:pt idx="14">
                  <c:v>2012</c:v>
                </c:pt>
                <c:pt idx="15">
                  <c:v>2012</c:v>
                </c:pt>
                <c:pt idx="16">
                  <c:v>2012</c:v>
                </c:pt>
                <c:pt idx="17">
                  <c:v>2012</c:v>
                </c:pt>
                <c:pt idx="18">
                  <c:v>2012</c:v>
                </c:pt>
                <c:pt idx="19">
                  <c:v>2012</c:v>
                </c:pt>
                <c:pt idx="20">
                  <c:v>2013</c:v>
                </c:pt>
                <c:pt idx="21">
                  <c:v>2014</c:v>
                </c:pt>
                <c:pt idx="22">
                  <c:v>2014</c:v>
                </c:pt>
                <c:pt idx="23">
                  <c:v>2014</c:v>
                </c:pt>
                <c:pt idx="24">
                  <c:v>2014</c:v>
                </c:pt>
                <c:pt idx="25">
                  <c:v>2015</c:v>
                </c:pt>
                <c:pt idx="26">
                  <c:v>2015</c:v>
                </c:pt>
                <c:pt idx="27">
                  <c:v>2015</c:v>
                </c:pt>
                <c:pt idx="28">
                  <c:v>2015</c:v>
                </c:pt>
                <c:pt idx="29">
                  <c:v>2016</c:v>
                </c:pt>
                <c:pt idx="30">
                  <c:v>2016</c:v>
                </c:pt>
                <c:pt idx="31">
                  <c:v>2016</c:v>
                </c:pt>
                <c:pt idx="32">
                  <c:v>2016</c:v>
                </c:pt>
                <c:pt idx="33">
                  <c:v>2016</c:v>
                </c:pt>
                <c:pt idx="34">
                  <c:v>2016</c:v>
                </c:pt>
                <c:pt idx="35">
                  <c:v>2016</c:v>
                </c:pt>
                <c:pt idx="36">
                  <c:v>2017</c:v>
                </c:pt>
                <c:pt idx="37">
                  <c:v>2017</c:v>
                </c:pt>
                <c:pt idx="38">
                  <c:v>2017</c:v>
                </c:pt>
                <c:pt idx="39">
                  <c:v>2017</c:v>
                </c:pt>
                <c:pt idx="40">
                  <c:v>2017</c:v>
                </c:pt>
                <c:pt idx="41">
                  <c:v>2017</c:v>
                </c:pt>
                <c:pt idx="42">
                  <c:v>2017</c:v>
                </c:pt>
                <c:pt idx="43">
                  <c:v>2017</c:v>
                </c:pt>
                <c:pt idx="44">
                  <c:v>2017</c:v>
                </c:pt>
                <c:pt idx="45">
                  <c:v>2018</c:v>
                </c:pt>
                <c:pt idx="46">
                  <c:v>2018</c:v>
                </c:pt>
                <c:pt idx="47">
                  <c:v>2018</c:v>
                </c:pt>
                <c:pt idx="48">
                  <c:v>2018</c:v>
                </c:pt>
                <c:pt idx="49">
                  <c:v>2018</c:v>
                </c:pt>
                <c:pt idx="50">
                  <c:v>2018</c:v>
                </c:pt>
                <c:pt idx="51">
                  <c:v>2018</c:v>
                </c:pt>
                <c:pt idx="52">
                  <c:v>2018</c:v>
                </c:pt>
              </c:numCache>
            </c:numRef>
          </c:xVal>
          <c:yVal>
            <c:numRef>
              <c:f>Data!$Q$123:$Q$175</c:f>
              <c:numCache>
                <c:formatCode>General</c:formatCode>
                <c:ptCount val="53"/>
                <c:pt idx="25">
                  <c:v>1.4999999999999999E-2</c:v>
                </c:pt>
                <c:pt idx="36">
                  <c:v>1.4E-2</c:v>
                </c:pt>
                <c:pt idx="37">
                  <c:v>1.0999999999999999E-2</c:v>
                </c:pt>
                <c:pt idx="44">
                  <c:v>1.0200000000000001E-3</c:v>
                </c:pt>
                <c:pt idx="51">
                  <c:v>1.0200000000000001E-3</c:v>
                </c:pt>
              </c:numCache>
            </c:numRef>
          </c:yVal>
          <c:smooth val="0"/>
          <c:extLst>
            <c:ext xmlns:c16="http://schemas.microsoft.com/office/drawing/2014/chart" uri="{C3380CC4-5D6E-409C-BE32-E72D297353CC}">
              <c16:uniqueId val="{00000004-1049-4841-BFF6-5F532DC6C712}"/>
            </c:ext>
          </c:extLst>
        </c:ser>
        <c:dLbls>
          <c:showLegendKey val="0"/>
          <c:showVal val="0"/>
          <c:showCatName val="0"/>
          <c:showSerName val="0"/>
          <c:showPercent val="0"/>
          <c:showBubbleSize val="0"/>
        </c:dLbls>
        <c:axId val="152339104"/>
        <c:axId val="152339496"/>
      </c:scatterChart>
      <c:valAx>
        <c:axId val="152339104"/>
        <c:scaling>
          <c:orientation val="minMax"/>
          <c:min val="1999"/>
        </c:scaling>
        <c:delete val="0"/>
        <c:axPos val="b"/>
        <c:title>
          <c:tx>
            <c:rich>
              <a:bodyPr rot="0" spcFirstLastPara="1" vertOverflow="ellipsis" vert="horz" wrap="square" anchor="ctr" anchorCtr="1"/>
              <a:lstStyle/>
              <a:p>
                <a:pPr>
                  <a:defRPr lang="en-US" sz="1100" b="1" i="0" u="none" strike="noStrike" kern="1200" baseline="0">
                    <a:solidFill>
                      <a:schemeClr val="tx1">
                        <a:lumMod val="65000"/>
                        <a:lumOff val="35000"/>
                      </a:schemeClr>
                    </a:solidFill>
                    <a:latin typeface="+mn-lt"/>
                    <a:ea typeface="+mn-ea"/>
                    <a:cs typeface="+mn-cs"/>
                  </a:defRPr>
                </a:pPr>
                <a:r>
                  <a:rPr lang="en-US" sz="1100" b="1"/>
                  <a:t>year</a:t>
                </a:r>
              </a:p>
            </c:rich>
          </c:tx>
          <c:overlay val="0"/>
          <c:spPr>
            <a:noFill/>
            <a:ln>
              <a:noFill/>
            </a:ln>
            <a:effectLst/>
          </c:spPr>
        </c:title>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lang="en-US" sz="900" b="1" i="0" u="none" strike="noStrike" kern="1200" baseline="0">
                <a:solidFill>
                  <a:schemeClr val="tx1">
                    <a:lumMod val="65000"/>
                    <a:lumOff val="35000"/>
                  </a:schemeClr>
                </a:solidFill>
                <a:latin typeface="+mn-lt"/>
                <a:ea typeface="+mn-ea"/>
                <a:cs typeface="+mn-cs"/>
              </a:defRPr>
            </a:pPr>
            <a:endParaRPr lang="en-US"/>
          </a:p>
        </c:txPr>
        <c:crossAx val="152339496"/>
        <c:crossesAt val="1.0000000000000011E-3"/>
        <c:crossBetween val="midCat"/>
      </c:valAx>
      <c:valAx>
        <c:axId val="152339496"/>
        <c:scaling>
          <c:logBase val="10"/>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lang="en-US" sz="1100" b="1" i="0" u="none" strike="noStrike" kern="1200" baseline="0">
                    <a:solidFill>
                      <a:schemeClr val="tx1">
                        <a:lumMod val="65000"/>
                        <a:lumOff val="35000"/>
                      </a:schemeClr>
                    </a:solidFill>
                    <a:latin typeface="+mn-lt"/>
                    <a:ea typeface="+mn-ea"/>
                    <a:cs typeface="+mn-cs"/>
                  </a:defRPr>
                </a:pPr>
                <a:r>
                  <a:rPr lang="en-SG" sz="1100" b="1"/>
                  <a:t>energy per bit (pJ/bit)</a:t>
                </a:r>
              </a:p>
            </c:rich>
          </c:tx>
          <c:overlay val="0"/>
          <c:spPr>
            <a:noFill/>
            <a:ln>
              <a:noFill/>
            </a:ln>
            <a:effectLst/>
          </c:spPr>
        </c:title>
        <c:numFmt formatCode="0.E+00" sourceLinked="0"/>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lang="en-US" sz="900" b="1" i="0" u="none" strike="noStrike" kern="1200" baseline="0">
                <a:solidFill>
                  <a:schemeClr val="tx1">
                    <a:lumMod val="65000"/>
                    <a:lumOff val="35000"/>
                  </a:schemeClr>
                </a:solidFill>
                <a:latin typeface="+mn-lt"/>
                <a:ea typeface="+mn-ea"/>
                <a:cs typeface="+mn-cs"/>
              </a:defRPr>
            </a:pPr>
            <a:endParaRPr lang="en-US"/>
          </a:p>
        </c:txPr>
        <c:crossAx val="152339104"/>
        <c:crosses val="autoZero"/>
        <c:crossBetween val="midCat"/>
      </c:valAx>
      <c:spPr>
        <a:noFill/>
        <a:ln>
          <a:solidFill>
            <a:schemeClr val="bg1">
              <a:lumMod val="50000"/>
            </a:schemeClr>
          </a:solidFill>
        </a:ln>
        <a:effectLst/>
      </c:spPr>
    </c:plotArea>
    <c:legend>
      <c:legendPos val="b"/>
      <c:overlay val="0"/>
      <c:spPr>
        <a:noFill/>
        <a:ln>
          <a:noFill/>
        </a:ln>
        <a:effectLst/>
      </c:spPr>
      <c:txPr>
        <a:bodyPr rot="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000000000000278" l="0.70000000000000062" r="0.70000000000000062" t="0.750000000000002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600" b="1" i="0" u="none" strike="noStrike" kern="1200" spc="0" baseline="0">
                <a:solidFill>
                  <a:schemeClr val="tx1">
                    <a:lumMod val="65000"/>
                    <a:lumOff val="35000"/>
                  </a:schemeClr>
                </a:solidFill>
                <a:latin typeface="+mn-lt"/>
                <a:ea typeface="+mn-ea"/>
                <a:cs typeface="+mn-cs"/>
              </a:defRPr>
            </a:pPr>
            <a:r>
              <a:rPr lang="en-SG" sz="1600" b="1"/>
              <a:t>Normalized energy per bit</a:t>
            </a:r>
          </a:p>
          <a:p>
            <a:pPr>
              <a:defRPr lang="en-US" sz="1600" b="1" i="0" u="none" strike="noStrike" kern="1200" spc="0" baseline="0">
                <a:solidFill>
                  <a:schemeClr val="tx1">
                    <a:lumMod val="65000"/>
                    <a:lumOff val="35000"/>
                  </a:schemeClr>
                </a:solidFill>
                <a:latin typeface="+mn-lt"/>
                <a:ea typeface="+mn-ea"/>
                <a:cs typeface="+mn-cs"/>
              </a:defRPr>
            </a:pPr>
            <a:r>
              <a:rPr lang="en-SG" sz="1600" b="1"/>
              <a:t>(technology-independent)</a:t>
            </a:r>
          </a:p>
        </c:rich>
      </c:tx>
      <c:overlay val="0"/>
      <c:spPr>
        <a:noFill/>
        <a:ln>
          <a:noFill/>
        </a:ln>
        <a:effectLst/>
      </c:spPr>
    </c:title>
    <c:autoTitleDeleted val="0"/>
    <c:plotArea>
      <c:layout/>
      <c:scatterChart>
        <c:scatterStyle val="lineMarker"/>
        <c:varyColors val="0"/>
        <c:ser>
          <c:idx val="0"/>
          <c:order val="0"/>
          <c:tx>
            <c:strRef>
              <c:f>Data!$M$180</c:f>
              <c:strCache>
                <c:ptCount val="1"/>
                <c:pt idx="0">
                  <c:v>Analog</c:v>
                </c:pt>
              </c:strCache>
            </c:strRef>
          </c:tx>
          <c:spPr>
            <a:ln w="25400" cap="rnd">
              <a:noFill/>
              <a:round/>
            </a:ln>
            <a:effectLst/>
          </c:spPr>
          <c:marker>
            <c:symbol val="circle"/>
            <c:size val="7"/>
            <c:spPr>
              <a:noFill/>
              <a:ln w="9525">
                <a:solidFill>
                  <a:schemeClr val="accent1"/>
                </a:solidFill>
              </a:ln>
              <a:effectLst/>
            </c:spPr>
          </c:marker>
          <c:xVal>
            <c:numRef>
              <c:f>Data!$L$181:$L$233</c:f>
              <c:numCache>
                <c:formatCode>General</c:formatCode>
                <c:ptCount val="53"/>
                <c:pt idx="0">
                  <c:v>2000</c:v>
                </c:pt>
                <c:pt idx="1">
                  <c:v>2004</c:v>
                </c:pt>
                <c:pt idx="2">
                  <c:v>2005</c:v>
                </c:pt>
                <c:pt idx="3">
                  <c:v>2007</c:v>
                </c:pt>
                <c:pt idx="4">
                  <c:v>2008</c:v>
                </c:pt>
                <c:pt idx="5">
                  <c:v>2008</c:v>
                </c:pt>
                <c:pt idx="6">
                  <c:v>2008</c:v>
                </c:pt>
                <c:pt idx="7">
                  <c:v>2009</c:v>
                </c:pt>
                <c:pt idx="8">
                  <c:v>2010</c:v>
                </c:pt>
                <c:pt idx="9">
                  <c:v>2011</c:v>
                </c:pt>
                <c:pt idx="10">
                  <c:v>2011</c:v>
                </c:pt>
                <c:pt idx="11">
                  <c:v>2011</c:v>
                </c:pt>
                <c:pt idx="12">
                  <c:v>2012</c:v>
                </c:pt>
                <c:pt idx="13">
                  <c:v>2012</c:v>
                </c:pt>
                <c:pt idx="14">
                  <c:v>2012</c:v>
                </c:pt>
                <c:pt idx="15">
                  <c:v>2012</c:v>
                </c:pt>
                <c:pt idx="16">
                  <c:v>2012</c:v>
                </c:pt>
                <c:pt idx="17">
                  <c:v>2012</c:v>
                </c:pt>
                <c:pt idx="18">
                  <c:v>2012</c:v>
                </c:pt>
                <c:pt idx="19">
                  <c:v>2012</c:v>
                </c:pt>
                <c:pt idx="20">
                  <c:v>2013</c:v>
                </c:pt>
                <c:pt idx="21">
                  <c:v>2014</c:v>
                </c:pt>
                <c:pt idx="22">
                  <c:v>2014</c:v>
                </c:pt>
                <c:pt idx="23">
                  <c:v>2014</c:v>
                </c:pt>
                <c:pt idx="24">
                  <c:v>2014</c:v>
                </c:pt>
                <c:pt idx="25">
                  <c:v>2015</c:v>
                </c:pt>
                <c:pt idx="26">
                  <c:v>2015</c:v>
                </c:pt>
                <c:pt idx="27">
                  <c:v>2015</c:v>
                </c:pt>
                <c:pt idx="28">
                  <c:v>2015</c:v>
                </c:pt>
                <c:pt idx="29">
                  <c:v>2016</c:v>
                </c:pt>
                <c:pt idx="30">
                  <c:v>2016</c:v>
                </c:pt>
                <c:pt idx="31">
                  <c:v>2016</c:v>
                </c:pt>
                <c:pt idx="32">
                  <c:v>2016</c:v>
                </c:pt>
                <c:pt idx="33">
                  <c:v>2016</c:v>
                </c:pt>
                <c:pt idx="34">
                  <c:v>2016</c:v>
                </c:pt>
                <c:pt idx="35">
                  <c:v>2016</c:v>
                </c:pt>
                <c:pt idx="36">
                  <c:v>2017</c:v>
                </c:pt>
                <c:pt idx="37">
                  <c:v>2017</c:v>
                </c:pt>
                <c:pt idx="38">
                  <c:v>2017</c:v>
                </c:pt>
                <c:pt idx="39">
                  <c:v>2017</c:v>
                </c:pt>
                <c:pt idx="40">
                  <c:v>2017</c:v>
                </c:pt>
                <c:pt idx="41">
                  <c:v>2017</c:v>
                </c:pt>
                <c:pt idx="42">
                  <c:v>2017</c:v>
                </c:pt>
                <c:pt idx="43">
                  <c:v>2017</c:v>
                </c:pt>
                <c:pt idx="44">
                  <c:v>2017</c:v>
                </c:pt>
                <c:pt idx="45">
                  <c:v>2018</c:v>
                </c:pt>
                <c:pt idx="46">
                  <c:v>2018</c:v>
                </c:pt>
                <c:pt idx="47">
                  <c:v>2018</c:v>
                </c:pt>
                <c:pt idx="48">
                  <c:v>2018</c:v>
                </c:pt>
                <c:pt idx="49">
                  <c:v>2018</c:v>
                </c:pt>
                <c:pt idx="50">
                  <c:v>2018</c:v>
                </c:pt>
                <c:pt idx="51">
                  <c:v>2018</c:v>
                </c:pt>
                <c:pt idx="52">
                  <c:v>2018</c:v>
                </c:pt>
              </c:numCache>
            </c:numRef>
          </c:xVal>
          <c:yVal>
            <c:numRef>
              <c:f>Data!$M$181:$M$233</c:f>
              <c:numCache>
                <c:formatCode>General</c:formatCode>
                <c:ptCount val="53"/>
                <c:pt idx="0">
                  <c:v>194137.861330099</c:v>
                </c:pt>
                <c:pt idx="6">
                  <c:v>46061.165015834515</c:v>
                </c:pt>
                <c:pt idx="7">
                  <c:v>58344.142353390373</c:v>
                </c:pt>
                <c:pt idx="8">
                  <c:v>170.40129504984233</c:v>
                </c:pt>
                <c:pt idx="10">
                  <c:v>83348.774790557683</c:v>
                </c:pt>
                <c:pt idx="26">
                  <c:v>667.07095209217709</c:v>
                </c:pt>
                <c:pt idx="33">
                  <c:v>3650.6973923590049</c:v>
                </c:pt>
                <c:pt idx="38">
                  <c:v>339.74125732767322</c:v>
                </c:pt>
                <c:pt idx="40">
                  <c:v>7119.2136648473816</c:v>
                </c:pt>
                <c:pt idx="41">
                  <c:v>7119.2136648473816</c:v>
                </c:pt>
                <c:pt idx="43">
                  <c:v>2269.8942119803246</c:v>
                </c:pt>
                <c:pt idx="45">
                  <c:v>3153.4263189812009</c:v>
                </c:pt>
                <c:pt idx="46">
                  <c:v>230.4426925409339</c:v>
                </c:pt>
                <c:pt idx="47">
                  <c:v>1415.5885721986385</c:v>
                </c:pt>
                <c:pt idx="48">
                  <c:v>520.01212856276516</c:v>
                </c:pt>
                <c:pt idx="52">
                  <c:v>733.39759729779655</c:v>
                </c:pt>
              </c:numCache>
            </c:numRef>
          </c:yVal>
          <c:smooth val="0"/>
          <c:extLst>
            <c:ext xmlns:c16="http://schemas.microsoft.com/office/drawing/2014/chart" uri="{C3380CC4-5D6E-409C-BE32-E72D297353CC}">
              <c16:uniqueId val="{00000000-315F-4FA7-AF50-BB316657A432}"/>
            </c:ext>
          </c:extLst>
        </c:ser>
        <c:ser>
          <c:idx val="1"/>
          <c:order val="1"/>
          <c:tx>
            <c:strRef>
              <c:f>Data!$N$180</c:f>
              <c:strCache>
                <c:ptCount val="1"/>
                <c:pt idx="0">
                  <c:v>Delay</c:v>
                </c:pt>
              </c:strCache>
            </c:strRef>
          </c:tx>
          <c:spPr>
            <a:ln w="25400" cap="rnd">
              <a:noFill/>
              <a:round/>
            </a:ln>
            <a:effectLst/>
          </c:spPr>
          <c:marker>
            <c:symbol val="triangle"/>
            <c:size val="7"/>
            <c:spPr>
              <a:noFill/>
              <a:ln w="9525">
                <a:solidFill>
                  <a:schemeClr val="accent2"/>
                </a:solidFill>
              </a:ln>
              <a:effectLst/>
            </c:spPr>
          </c:marker>
          <c:dPt>
            <c:idx val="2"/>
            <c:bubble3D val="0"/>
            <c:extLst>
              <c:ext xmlns:c16="http://schemas.microsoft.com/office/drawing/2014/chart" uri="{C3380CC4-5D6E-409C-BE32-E72D297353CC}">
                <c16:uniqueId val="{00000000-6739-4555-B3E7-3A835FF28DE8}"/>
              </c:ext>
            </c:extLst>
          </c:dPt>
          <c:dPt>
            <c:idx val="23"/>
            <c:bubble3D val="0"/>
            <c:extLst>
              <c:ext xmlns:c16="http://schemas.microsoft.com/office/drawing/2014/chart" uri="{C3380CC4-5D6E-409C-BE32-E72D297353CC}">
                <c16:uniqueId val="{00000001-6739-4555-B3E7-3A835FF28DE8}"/>
              </c:ext>
            </c:extLst>
          </c:dPt>
          <c:dPt>
            <c:idx val="27"/>
            <c:bubble3D val="0"/>
            <c:extLst>
              <c:ext xmlns:c16="http://schemas.microsoft.com/office/drawing/2014/chart" uri="{C3380CC4-5D6E-409C-BE32-E72D297353CC}">
                <c16:uniqueId val="{00000002-6739-4555-B3E7-3A835FF28DE8}"/>
              </c:ext>
            </c:extLst>
          </c:dPt>
          <c:xVal>
            <c:numRef>
              <c:f>Data!$L$181:$L$233</c:f>
              <c:numCache>
                <c:formatCode>General</c:formatCode>
                <c:ptCount val="53"/>
                <c:pt idx="0">
                  <c:v>2000</c:v>
                </c:pt>
                <c:pt idx="1">
                  <c:v>2004</c:v>
                </c:pt>
                <c:pt idx="2">
                  <c:v>2005</c:v>
                </c:pt>
                <c:pt idx="3">
                  <c:v>2007</c:v>
                </c:pt>
                <c:pt idx="4">
                  <c:v>2008</c:v>
                </c:pt>
                <c:pt idx="5">
                  <c:v>2008</c:v>
                </c:pt>
                <c:pt idx="6">
                  <c:v>2008</c:v>
                </c:pt>
                <c:pt idx="7">
                  <c:v>2009</c:v>
                </c:pt>
                <c:pt idx="8">
                  <c:v>2010</c:v>
                </c:pt>
                <c:pt idx="9">
                  <c:v>2011</c:v>
                </c:pt>
                <c:pt idx="10">
                  <c:v>2011</c:v>
                </c:pt>
                <c:pt idx="11">
                  <c:v>2011</c:v>
                </c:pt>
                <c:pt idx="12">
                  <c:v>2012</c:v>
                </c:pt>
                <c:pt idx="13">
                  <c:v>2012</c:v>
                </c:pt>
                <c:pt idx="14">
                  <c:v>2012</c:v>
                </c:pt>
                <c:pt idx="15">
                  <c:v>2012</c:v>
                </c:pt>
                <c:pt idx="16">
                  <c:v>2012</c:v>
                </c:pt>
                <c:pt idx="17">
                  <c:v>2012</c:v>
                </c:pt>
                <c:pt idx="18">
                  <c:v>2012</c:v>
                </c:pt>
                <c:pt idx="19">
                  <c:v>2012</c:v>
                </c:pt>
                <c:pt idx="20">
                  <c:v>2013</c:v>
                </c:pt>
                <c:pt idx="21">
                  <c:v>2014</c:v>
                </c:pt>
                <c:pt idx="22">
                  <c:v>2014</c:v>
                </c:pt>
                <c:pt idx="23">
                  <c:v>2014</c:v>
                </c:pt>
                <c:pt idx="24">
                  <c:v>2014</c:v>
                </c:pt>
                <c:pt idx="25">
                  <c:v>2015</c:v>
                </c:pt>
                <c:pt idx="26">
                  <c:v>2015</c:v>
                </c:pt>
                <c:pt idx="27">
                  <c:v>2015</c:v>
                </c:pt>
                <c:pt idx="28">
                  <c:v>2015</c:v>
                </c:pt>
                <c:pt idx="29">
                  <c:v>2016</c:v>
                </c:pt>
                <c:pt idx="30">
                  <c:v>2016</c:v>
                </c:pt>
                <c:pt idx="31">
                  <c:v>2016</c:v>
                </c:pt>
                <c:pt idx="32">
                  <c:v>2016</c:v>
                </c:pt>
                <c:pt idx="33">
                  <c:v>2016</c:v>
                </c:pt>
                <c:pt idx="34">
                  <c:v>2016</c:v>
                </c:pt>
                <c:pt idx="35">
                  <c:v>2016</c:v>
                </c:pt>
                <c:pt idx="36">
                  <c:v>2017</c:v>
                </c:pt>
                <c:pt idx="37">
                  <c:v>2017</c:v>
                </c:pt>
                <c:pt idx="38">
                  <c:v>2017</c:v>
                </c:pt>
                <c:pt idx="39">
                  <c:v>2017</c:v>
                </c:pt>
                <c:pt idx="40">
                  <c:v>2017</c:v>
                </c:pt>
                <c:pt idx="41">
                  <c:v>2017</c:v>
                </c:pt>
                <c:pt idx="42">
                  <c:v>2017</c:v>
                </c:pt>
                <c:pt idx="43">
                  <c:v>2017</c:v>
                </c:pt>
                <c:pt idx="44">
                  <c:v>2017</c:v>
                </c:pt>
                <c:pt idx="45">
                  <c:v>2018</c:v>
                </c:pt>
                <c:pt idx="46">
                  <c:v>2018</c:v>
                </c:pt>
                <c:pt idx="47">
                  <c:v>2018</c:v>
                </c:pt>
                <c:pt idx="48">
                  <c:v>2018</c:v>
                </c:pt>
                <c:pt idx="49">
                  <c:v>2018</c:v>
                </c:pt>
                <c:pt idx="50">
                  <c:v>2018</c:v>
                </c:pt>
                <c:pt idx="51">
                  <c:v>2018</c:v>
                </c:pt>
                <c:pt idx="52">
                  <c:v>2018</c:v>
                </c:pt>
              </c:numCache>
            </c:numRef>
          </c:xVal>
          <c:yVal>
            <c:numRef>
              <c:f>Data!$N$181:$N$233</c:f>
              <c:numCache>
                <c:formatCode>General</c:formatCode>
                <c:ptCount val="53"/>
                <c:pt idx="2">
                  <c:v>10.994083582268338</c:v>
                </c:pt>
                <c:pt idx="28">
                  <c:v>18984.302388385669</c:v>
                </c:pt>
                <c:pt idx="32">
                  <c:v>1152.2134627046694</c:v>
                </c:pt>
              </c:numCache>
            </c:numRef>
          </c:yVal>
          <c:smooth val="0"/>
          <c:extLst>
            <c:ext xmlns:c16="http://schemas.microsoft.com/office/drawing/2014/chart" uri="{C3380CC4-5D6E-409C-BE32-E72D297353CC}">
              <c16:uniqueId val="{00000001-315F-4FA7-AF50-BB316657A432}"/>
            </c:ext>
          </c:extLst>
        </c:ser>
        <c:ser>
          <c:idx val="2"/>
          <c:order val="2"/>
          <c:tx>
            <c:strRef>
              <c:f>Data!$O$180</c:f>
              <c:strCache>
                <c:ptCount val="1"/>
                <c:pt idx="0">
                  <c:v>Memory</c:v>
                </c:pt>
              </c:strCache>
            </c:strRef>
          </c:tx>
          <c:spPr>
            <a:ln w="25400" cap="rnd">
              <a:noFill/>
              <a:round/>
            </a:ln>
            <a:effectLst/>
          </c:spPr>
          <c:marker>
            <c:symbol val="square"/>
            <c:size val="7"/>
            <c:spPr>
              <a:noFill/>
              <a:ln w="9525">
                <a:solidFill>
                  <a:schemeClr val="accent3"/>
                </a:solidFill>
              </a:ln>
              <a:effectLst/>
            </c:spPr>
          </c:marker>
          <c:xVal>
            <c:numRef>
              <c:f>Data!$L$181:$L$233</c:f>
              <c:numCache>
                <c:formatCode>General</c:formatCode>
                <c:ptCount val="53"/>
                <c:pt idx="0">
                  <c:v>2000</c:v>
                </c:pt>
                <c:pt idx="1">
                  <c:v>2004</c:v>
                </c:pt>
                <c:pt idx="2">
                  <c:v>2005</c:v>
                </c:pt>
                <c:pt idx="3">
                  <c:v>2007</c:v>
                </c:pt>
                <c:pt idx="4">
                  <c:v>2008</c:v>
                </c:pt>
                <c:pt idx="5">
                  <c:v>2008</c:v>
                </c:pt>
                <c:pt idx="6">
                  <c:v>2008</c:v>
                </c:pt>
                <c:pt idx="7">
                  <c:v>2009</c:v>
                </c:pt>
                <c:pt idx="8">
                  <c:v>2010</c:v>
                </c:pt>
                <c:pt idx="9">
                  <c:v>2011</c:v>
                </c:pt>
                <c:pt idx="10">
                  <c:v>2011</c:v>
                </c:pt>
                <c:pt idx="11">
                  <c:v>2011</c:v>
                </c:pt>
                <c:pt idx="12">
                  <c:v>2012</c:v>
                </c:pt>
                <c:pt idx="13">
                  <c:v>2012</c:v>
                </c:pt>
                <c:pt idx="14">
                  <c:v>2012</c:v>
                </c:pt>
                <c:pt idx="15">
                  <c:v>2012</c:v>
                </c:pt>
                <c:pt idx="16">
                  <c:v>2012</c:v>
                </c:pt>
                <c:pt idx="17">
                  <c:v>2012</c:v>
                </c:pt>
                <c:pt idx="18">
                  <c:v>2012</c:v>
                </c:pt>
                <c:pt idx="19">
                  <c:v>2012</c:v>
                </c:pt>
                <c:pt idx="20">
                  <c:v>2013</c:v>
                </c:pt>
                <c:pt idx="21">
                  <c:v>2014</c:v>
                </c:pt>
                <c:pt idx="22">
                  <c:v>2014</c:v>
                </c:pt>
                <c:pt idx="23">
                  <c:v>2014</c:v>
                </c:pt>
                <c:pt idx="24">
                  <c:v>2014</c:v>
                </c:pt>
                <c:pt idx="25">
                  <c:v>2015</c:v>
                </c:pt>
                <c:pt idx="26">
                  <c:v>2015</c:v>
                </c:pt>
                <c:pt idx="27">
                  <c:v>2015</c:v>
                </c:pt>
                <c:pt idx="28">
                  <c:v>2015</c:v>
                </c:pt>
                <c:pt idx="29">
                  <c:v>2016</c:v>
                </c:pt>
                <c:pt idx="30">
                  <c:v>2016</c:v>
                </c:pt>
                <c:pt idx="31">
                  <c:v>2016</c:v>
                </c:pt>
                <c:pt idx="32">
                  <c:v>2016</c:v>
                </c:pt>
                <c:pt idx="33">
                  <c:v>2016</c:v>
                </c:pt>
                <c:pt idx="34">
                  <c:v>2016</c:v>
                </c:pt>
                <c:pt idx="35">
                  <c:v>2016</c:v>
                </c:pt>
                <c:pt idx="36">
                  <c:v>2017</c:v>
                </c:pt>
                <c:pt idx="37">
                  <c:v>2017</c:v>
                </c:pt>
                <c:pt idx="38">
                  <c:v>2017</c:v>
                </c:pt>
                <c:pt idx="39">
                  <c:v>2017</c:v>
                </c:pt>
                <c:pt idx="40">
                  <c:v>2017</c:v>
                </c:pt>
                <c:pt idx="41">
                  <c:v>2017</c:v>
                </c:pt>
                <c:pt idx="42">
                  <c:v>2017</c:v>
                </c:pt>
                <c:pt idx="43">
                  <c:v>2017</c:v>
                </c:pt>
                <c:pt idx="44">
                  <c:v>2017</c:v>
                </c:pt>
                <c:pt idx="45">
                  <c:v>2018</c:v>
                </c:pt>
                <c:pt idx="46">
                  <c:v>2018</c:v>
                </c:pt>
                <c:pt idx="47">
                  <c:v>2018</c:v>
                </c:pt>
                <c:pt idx="48">
                  <c:v>2018</c:v>
                </c:pt>
                <c:pt idx="49">
                  <c:v>2018</c:v>
                </c:pt>
                <c:pt idx="50">
                  <c:v>2018</c:v>
                </c:pt>
                <c:pt idx="51">
                  <c:v>2018</c:v>
                </c:pt>
                <c:pt idx="52">
                  <c:v>2018</c:v>
                </c:pt>
              </c:numCache>
            </c:numRef>
          </c:xVal>
          <c:yVal>
            <c:numRef>
              <c:f>Data!$O$181:$O$233</c:f>
              <c:numCache>
                <c:formatCode>General</c:formatCode>
                <c:ptCount val="53"/>
                <c:pt idx="3">
                  <c:v>276.34930260764094</c:v>
                </c:pt>
                <c:pt idx="4">
                  <c:v>276.34930260764094</c:v>
                </c:pt>
                <c:pt idx="5">
                  <c:v>276.34930260764094</c:v>
                </c:pt>
                <c:pt idx="31">
                  <c:v>667.07095209217709</c:v>
                </c:pt>
              </c:numCache>
            </c:numRef>
          </c:yVal>
          <c:smooth val="0"/>
          <c:extLst>
            <c:ext xmlns:c16="http://schemas.microsoft.com/office/drawing/2014/chart" uri="{C3380CC4-5D6E-409C-BE32-E72D297353CC}">
              <c16:uniqueId val="{00000002-315F-4FA7-AF50-BB316657A432}"/>
            </c:ext>
          </c:extLst>
        </c:ser>
        <c:ser>
          <c:idx val="3"/>
          <c:order val="3"/>
          <c:tx>
            <c:strRef>
              <c:f>Data!$P$180</c:f>
              <c:strCache>
                <c:ptCount val="1"/>
                <c:pt idx="0">
                  <c:v>Metastability</c:v>
                </c:pt>
              </c:strCache>
            </c:strRef>
          </c:tx>
          <c:spPr>
            <a:ln w="28575">
              <a:noFill/>
            </a:ln>
          </c:spPr>
          <c:marker>
            <c:symbol val="star"/>
            <c:size val="7"/>
          </c:marker>
          <c:xVal>
            <c:numRef>
              <c:f>Data!$L$181:$L$233</c:f>
              <c:numCache>
                <c:formatCode>General</c:formatCode>
                <c:ptCount val="53"/>
                <c:pt idx="0">
                  <c:v>2000</c:v>
                </c:pt>
                <c:pt idx="1">
                  <c:v>2004</c:v>
                </c:pt>
                <c:pt idx="2">
                  <c:v>2005</c:v>
                </c:pt>
                <c:pt idx="3">
                  <c:v>2007</c:v>
                </c:pt>
                <c:pt idx="4">
                  <c:v>2008</c:v>
                </c:pt>
                <c:pt idx="5">
                  <c:v>2008</c:v>
                </c:pt>
                <c:pt idx="6">
                  <c:v>2008</c:v>
                </c:pt>
                <c:pt idx="7">
                  <c:v>2009</c:v>
                </c:pt>
                <c:pt idx="8">
                  <c:v>2010</c:v>
                </c:pt>
                <c:pt idx="9">
                  <c:v>2011</c:v>
                </c:pt>
                <c:pt idx="10">
                  <c:v>2011</c:v>
                </c:pt>
                <c:pt idx="11">
                  <c:v>2011</c:v>
                </c:pt>
                <c:pt idx="12">
                  <c:v>2012</c:v>
                </c:pt>
                <c:pt idx="13">
                  <c:v>2012</c:v>
                </c:pt>
                <c:pt idx="14">
                  <c:v>2012</c:v>
                </c:pt>
                <c:pt idx="15">
                  <c:v>2012</c:v>
                </c:pt>
                <c:pt idx="16">
                  <c:v>2012</c:v>
                </c:pt>
                <c:pt idx="17">
                  <c:v>2012</c:v>
                </c:pt>
                <c:pt idx="18">
                  <c:v>2012</c:v>
                </c:pt>
                <c:pt idx="19">
                  <c:v>2012</c:v>
                </c:pt>
                <c:pt idx="20">
                  <c:v>2013</c:v>
                </c:pt>
                <c:pt idx="21">
                  <c:v>2014</c:v>
                </c:pt>
                <c:pt idx="22">
                  <c:v>2014</c:v>
                </c:pt>
                <c:pt idx="23">
                  <c:v>2014</c:v>
                </c:pt>
                <c:pt idx="24">
                  <c:v>2014</c:v>
                </c:pt>
                <c:pt idx="25">
                  <c:v>2015</c:v>
                </c:pt>
                <c:pt idx="26">
                  <c:v>2015</c:v>
                </c:pt>
                <c:pt idx="27">
                  <c:v>2015</c:v>
                </c:pt>
                <c:pt idx="28">
                  <c:v>2015</c:v>
                </c:pt>
                <c:pt idx="29">
                  <c:v>2016</c:v>
                </c:pt>
                <c:pt idx="30">
                  <c:v>2016</c:v>
                </c:pt>
                <c:pt idx="31">
                  <c:v>2016</c:v>
                </c:pt>
                <c:pt idx="32">
                  <c:v>2016</c:v>
                </c:pt>
                <c:pt idx="33">
                  <c:v>2016</c:v>
                </c:pt>
                <c:pt idx="34">
                  <c:v>2016</c:v>
                </c:pt>
                <c:pt idx="35">
                  <c:v>2016</c:v>
                </c:pt>
                <c:pt idx="36">
                  <c:v>2017</c:v>
                </c:pt>
                <c:pt idx="37">
                  <c:v>2017</c:v>
                </c:pt>
                <c:pt idx="38">
                  <c:v>2017</c:v>
                </c:pt>
                <c:pt idx="39">
                  <c:v>2017</c:v>
                </c:pt>
                <c:pt idx="40">
                  <c:v>2017</c:v>
                </c:pt>
                <c:pt idx="41">
                  <c:v>2017</c:v>
                </c:pt>
                <c:pt idx="42">
                  <c:v>2017</c:v>
                </c:pt>
                <c:pt idx="43">
                  <c:v>2017</c:v>
                </c:pt>
                <c:pt idx="44">
                  <c:v>2017</c:v>
                </c:pt>
                <c:pt idx="45">
                  <c:v>2018</c:v>
                </c:pt>
                <c:pt idx="46">
                  <c:v>2018</c:v>
                </c:pt>
                <c:pt idx="47">
                  <c:v>2018</c:v>
                </c:pt>
                <c:pt idx="48">
                  <c:v>2018</c:v>
                </c:pt>
                <c:pt idx="49">
                  <c:v>2018</c:v>
                </c:pt>
                <c:pt idx="50">
                  <c:v>2018</c:v>
                </c:pt>
                <c:pt idx="51">
                  <c:v>2018</c:v>
                </c:pt>
                <c:pt idx="52">
                  <c:v>2018</c:v>
                </c:pt>
              </c:numCache>
            </c:numRef>
          </c:xVal>
          <c:yVal>
            <c:numRef>
              <c:f>Data!$P$181:$P$233</c:f>
              <c:numCache>
                <c:formatCode>General</c:formatCode>
                <c:ptCount val="53"/>
                <c:pt idx="22">
                  <c:v>524.8785817714421</c:v>
                </c:pt>
                <c:pt idx="23">
                  <c:v>35.912745068572349</c:v>
                </c:pt>
                <c:pt idx="34">
                  <c:v>23.912251089289345</c:v>
                </c:pt>
              </c:numCache>
            </c:numRef>
          </c:yVal>
          <c:smooth val="0"/>
          <c:extLst>
            <c:ext xmlns:c16="http://schemas.microsoft.com/office/drawing/2014/chart" uri="{C3380CC4-5D6E-409C-BE32-E72D297353CC}">
              <c16:uniqueId val="{00000003-315F-4FA7-AF50-BB316657A432}"/>
            </c:ext>
          </c:extLst>
        </c:ser>
        <c:ser>
          <c:idx val="4"/>
          <c:order val="4"/>
          <c:tx>
            <c:strRef>
              <c:f>Data!$Q$180</c:f>
              <c:strCache>
                <c:ptCount val="1"/>
                <c:pt idx="0">
                  <c:v>Monostable</c:v>
                </c:pt>
              </c:strCache>
            </c:strRef>
          </c:tx>
          <c:spPr>
            <a:ln w="28575">
              <a:noFill/>
            </a:ln>
          </c:spPr>
          <c:marker>
            <c:symbol val="diamond"/>
            <c:size val="7"/>
            <c:spPr>
              <a:noFill/>
            </c:spPr>
          </c:marker>
          <c:xVal>
            <c:numRef>
              <c:f>Data!$L$181:$L$233</c:f>
              <c:numCache>
                <c:formatCode>General</c:formatCode>
                <c:ptCount val="53"/>
                <c:pt idx="0">
                  <c:v>2000</c:v>
                </c:pt>
                <c:pt idx="1">
                  <c:v>2004</c:v>
                </c:pt>
                <c:pt idx="2">
                  <c:v>2005</c:v>
                </c:pt>
                <c:pt idx="3">
                  <c:v>2007</c:v>
                </c:pt>
                <c:pt idx="4">
                  <c:v>2008</c:v>
                </c:pt>
                <c:pt idx="5">
                  <c:v>2008</c:v>
                </c:pt>
                <c:pt idx="6">
                  <c:v>2008</c:v>
                </c:pt>
                <c:pt idx="7">
                  <c:v>2009</c:v>
                </c:pt>
                <c:pt idx="8">
                  <c:v>2010</c:v>
                </c:pt>
                <c:pt idx="9">
                  <c:v>2011</c:v>
                </c:pt>
                <c:pt idx="10">
                  <c:v>2011</c:v>
                </c:pt>
                <c:pt idx="11">
                  <c:v>2011</c:v>
                </c:pt>
                <c:pt idx="12">
                  <c:v>2012</c:v>
                </c:pt>
                <c:pt idx="13">
                  <c:v>2012</c:v>
                </c:pt>
                <c:pt idx="14">
                  <c:v>2012</c:v>
                </c:pt>
                <c:pt idx="15">
                  <c:v>2012</c:v>
                </c:pt>
                <c:pt idx="16">
                  <c:v>2012</c:v>
                </c:pt>
                <c:pt idx="17">
                  <c:v>2012</c:v>
                </c:pt>
                <c:pt idx="18">
                  <c:v>2012</c:v>
                </c:pt>
                <c:pt idx="19">
                  <c:v>2012</c:v>
                </c:pt>
                <c:pt idx="20">
                  <c:v>2013</c:v>
                </c:pt>
                <c:pt idx="21">
                  <c:v>2014</c:v>
                </c:pt>
                <c:pt idx="22">
                  <c:v>2014</c:v>
                </c:pt>
                <c:pt idx="23">
                  <c:v>2014</c:v>
                </c:pt>
                <c:pt idx="24">
                  <c:v>2014</c:v>
                </c:pt>
                <c:pt idx="25">
                  <c:v>2015</c:v>
                </c:pt>
                <c:pt idx="26">
                  <c:v>2015</c:v>
                </c:pt>
                <c:pt idx="27">
                  <c:v>2015</c:v>
                </c:pt>
                <c:pt idx="28">
                  <c:v>2015</c:v>
                </c:pt>
                <c:pt idx="29">
                  <c:v>2016</c:v>
                </c:pt>
                <c:pt idx="30">
                  <c:v>2016</c:v>
                </c:pt>
                <c:pt idx="31">
                  <c:v>2016</c:v>
                </c:pt>
                <c:pt idx="32">
                  <c:v>2016</c:v>
                </c:pt>
                <c:pt idx="33">
                  <c:v>2016</c:v>
                </c:pt>
                <c:pt idx="34">
                  <c:v>2016</c:v>
                </c:pt>
                <c:pt idx="35">
                  <c:v>2016</c:v>
                </c:pt>
                <c:pt idx="36">
                  <c:v>2017</c:v>
                </c:pt>
                <c:pt idx="37">
                  <c:v>2017</c:v>
                </c:pt>
                <c:pt idx="38">
                  <c:v>2017</c:v>
                </c:pt>
                <c:pt idx="39">
                  <c:v>2017</c:v>
                </c:pt>
                <c:pt idx="40">
                  <c:v>2017</c:v>
                </c:pt>
                <c:pt idx="41">
                  <c:v>2017</c:v>
                </c:pt>
                <c:pt idx="42">
                  <c:v>2017</c:v>
                </c:pt>
                <c:pt idx="43">
                  <c:v>2017</c:v>
                </c:pt>
                <c:pt idx="44">
                  <c:v>2017</c:v>
                </c:pt>
                <c:pt idx="45">
                  <c:v>2018</c:v>
                </c:pt>
                <c:pt idx="46">
                  <c:v>2018</c:v>
                </c:pt>
                <c:pt idx="47">
                  <c:v>2018</c:v>
                </c:pt>
                <c:pt idx="48">
                  <c:v>2018</c:v>
                </c:pt>
                <c:pt idx="49">
                  <c:v>2018</c:v>
                </c:pt>
                <c:pt idx="50">
                  <c:v>2018</c:v>
                </c:pt>
                <c:pt idx="51">
                  <c:v>2018</c:v>
                </c:pt>
                <c:pt idx="52">
                  <c:v>2018</c:v>
                </c:pt>
              </c:numCache>
            </c:numRef>
          </c:xVal>
          <c:yVal>
            <c:numRef>
              <c:f>Data!$Q$181:$Q$233</c:f>
              <c:numCache>
                <c:formatCode>General</c:formatCode>
                <c:ptCount val="53"/>
                <c:pt idx="25">
                  <c:v>9.0964220739842325</c:v>
                </c:pt>
                <c:pt idx="36">
                  <c:v>2.0222693888551979</c:v>
                </c:pt>
                <c:pt idx="37">
                  <c:v>1.588925948386227</c:v>
                </c:pt>
                <c:pt idx="44">
                  <c:v>1.0909289259804724</c:v>
                </c:pt>
                <c:pt idx="51">
                  <c:v>1.0909289259804724</c:v>
                </c:pt>
              </c:numCache>
            </c:numRef>
          </c:yVal>
          <c:smooth val="0"/>
          <c:extLst>
            <c:ext xmlns:c16="http://schemas.microsoft.com/office/drawing/2014/chart" uri="{C3380CC4-5D6E-409C-BE32-E72D297353CC}">
              <c16:uniqueId val="{00000004-315F-4FA7-AF50-BB316657A432}"/>
            </c:ext>
          </c:extLst>
        </c:ser>
        <c:dLbls>
          <c:showLegendKey val="0"/>
          <c:showVal val="0"/>
          <c:showCatName val="0"/>
          <c:showSerName val="0"/>
          <c:showPercent val="0"/>
          <c:showBubbleSize val="0"/>
        </c:dLbls>
        <c:axId val="153334232"/>
        <c:axId val="153334624"/>
      </c:scatterChart>
      <c:valAx>
        <c:axId val="153334232"/>
        <c:scaling>
          <c:orientation val="minMax"/>
          <c:min val="1999"/>
        </c:scaling>
        <c:delete val="0"/>
        <c:axPos val="b"/>
        <c:title>
          <c:tx>
            <c:rich>
              <a:bodyPr rot="0" spcFirstLastPara="1" vertOverflow="ellipsis" vert="horz" wrap="square" anchor="ctr" anchorCtr="1"/>
              <a:lstStyle/>
              <a:p>
                <a:pPr>
                  <a:defRPr lang="en-US" sz="1100" b="1" i="0" u="none" strike="noStrike" kern="1200" baseline="0">
                    <a:solidFill>
                      <a:schemeClr val="tx1">
                        <a:lumMod val="65000"/>
                        <a:lumOff val="35000"/>
                      </a:schemeClr>
                    </a:solidFill>
                    <a:latin typeface="+mn-lt"/>
                    <a:ea typeface="+mn-ea"/>
                    <a:cs typeface="+mn-cs"/>
                  </a:defRPr>
                </a:pPr>
                <a:r>
                  <a:rPr lang="en-US" sz="1100" b="1"/>
                  <a:t>year</a:t>
                </a:r>
              </a:p>
            </c:rich>
          </c:tx>
          <c:overlay val="0"/>
          <c:spPr>
            <a:noFill/>
            <a:ln>
              <a:noFill/>
            </a:ln>
            <a:effectLst/>
          </c:spPr>
        </c:title>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lang="en-US" sz="900" b="1" i="0" u="none" strike="noStrike" kern="1200" baseline="0">
                <a:solidFill>
                  <a:schemeClr val="tx1">
                    <a:lumMod val="65000"/>
                    <a:lumOff val="35000"/>
                  </a:schemeClr>
                </a:solidFill>
                <a:latin typeface="+mn-lt"/>
                <a:ea typeface="+mn-ea"/>
                <a:cs typeface="+mn-cs"/>
              </a:defRPr>
            </a:pPr>
            <a:endParaRPr lang="en-US"/>
          </a:p>
        </c:txPr>
        <c:crossAx val="153334624"/>
        <c:crossesAt val="1.0000000000000022E-3"/>
        <c:crossBetween val="midCat"/>
      </c:valAx>
      <c:valAx>
        <c:axId val="153334624"/>
        <c:scaling>
          <c:logBase val="10"/>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lang="en-US" sz="1100" b="1" i="0" u="none" strike="noStrike" kern="1200" baseline="0">
                    <a:solidFill>
                      <a:schemeClr val="tx1">
                        <a:lumMod val="65000"/>
                        <a:lumOff val="35000"/>
                      </a:schemeClr>
                    </a:solidFill>
                    <a:latin typeface="+mn-lt"/>
                    <a:ea typeface="+mn-ea"/>
                    <a:cs typeface="+mn-cs"/>
                  </a:defRPr>
                </a:pPr>
                <a:r>
                  <a:rPr lang="en-SG" sz="1100" b="1"/>
                  <a:t>normalized energy per bit (Einv/bit)</a:t>
                </a:r>
              </a:p>
            </c:rich>
          </c:tx>
          <c:overlay val="0"/>
          <c:spPr>
            <a:noFill/>
            <a:ln>
              <a:noFill/>
            </a:ln>
            <a:effectLst/>
          </c:spPr>
        </c:title>
        <c:numFmt formatCode="0.E+00" sourceLinked="0"/>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lang="en-US" sz="900" b="1" i="0" u="none" strike="noStrike" kern="1200" baseline="0">
                <a:solidFill>
                  <a:schemeClr val="tx1">
                    <a:lumMod val="65000"/>
                    <a:lumOff val="35000"/>
                  </a:schemeClr>
                </a:solidFill>
                <a:latin typeface="+mn-lt"/>
                <a:ea typeface="+mn-ea"/>
                <a:cs typeface="+mn-cs"/>
              </a:defRPr>
            </a:pPr>
            <a:endParaRPr lang="en-US"/>
          </a:p>
        </c:txPr>
        <c:crossAx val="153334232"/>
        <c:crosses val="autoZero"/>
        <c:crossBetween val="midCat"/>
      </c:valAx>
      <c:spPr>
        <a:noFill/>
        <a:ln>
          <a:solidFill>
            <a:schemeClr val="bg1">
              <a:lumMod val="50000"/>
            </a:schemeClr>
          </a:solidFill>
        </a:ln>
        <a:effectLst/>
      </c:spPr>
    </c:plotArea>
    <c:legend>
      <c:legendPos val="b"/>
      <c:overlay val="0"/>
      <c:spPr>
        <a:noFill/>
        <a:ln>
          <a:noFill/>
        </a:ln>
        <a:effectLst/>
      </c:spPr>
      <c:txPr>
        <a:bodyPr rot="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000000000000322" l="0.70000000000000062" r="0.70000000000000062" t="0.75000000000000322"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12700</xdr:colOff>
      <xdr:row>0</xdr:row>
      <xdr:rowOff>0</xdr:rowOff>
    </xdr:from>
    <xdr:to>
      <xdr:col>11</xdr:col>
      <xdr:colOff>175900</xdr:colOff>
      <xdr:row>18</xdr:row>
      <xdr:rowOff>171000</xdr:rowOff>
    </xdr:to>
    <xdr:grpSp>
      <xdr:nvGrpSpPr>
        <xdr:cNvPr id="17" name="Group 16">
          <a:extLst>
            <a:ext uri="{FF2B5EF4-FFF2-40B4-BE49-F238E27FC236}">
              <a16:creationId xmlns:a16="http://schemas.microsoft.com/office/drawing/2014/main" id="{00000000-0008-0000-0400-000011000000}"/>
            </a:ext>
          </a:extLst>
        </xdr:cNvPr>
        <xdr:cNvGrpSpPr/>
      </xdr:nvGrpSpPr>
      <xdr:grpSpPr>
        <a:xfrm>
          <a:off x="4399170" y="0"/>
          <a:ext cx="5040000" cy="3669574"/>
          <a:chOff x="617764" y="191860"/>
          <a:chExt cx="5400000" cy="3427640"/>
        </a:xfrm>
      </xdr:grpSpPr>
      <xdr:graphicFrame macro="">
        <xdr:nvGraphicFramePr>
          <xdr:cNvPr id="24" name="Chart 23">
            <a:extLst>
              <a:ext uri="{FF2B5EF4-FFF2-40B4-BE49-F238E27FC236}">
                <a16:creationId xmlns:a16="http://schemas.microsoft.com/office/drawing/2014/main" id="{00000000-0008-0000-0400-000018000000}"/>
              </a:ext>
            </a:extLst>
          </xdr:cNvPr>
          <xdr:cNvGraphicFramePr>
            <a:graphicFrameLocks/>
          </xdr:cNvGraphicFramePr>
        </xdr:nvGraphicFramePr>
        <xdr:xfrm>
          <a:off x="617764" y="191860"/>
          <a:ext cx="5400000" cy="342764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5" name="Down Arrow 17">
            <a:extLst>
              <a:ext uri="{FF2B5EF4-FFF2-40B4-BE49-F238E27FC236}">
                <a16:creationId xmlns:a16="http://schemas.microsoft.com/office/drawing/2014/main" id="{00000000-0008-0000-0400-000019000000}"/>
              </a:ext>
            </a:extLst>
          </xdr:cNvPr>
          <xdr:cNvSpPr/>
        </xdr:nvSpPr>
        <xdr:spPr>
          <a:xfrm rot="16514655">
            <a:off x="3191232" y="-418575"/>
            <a:ext cx="886372" cy="4055832"/>
          </a:xfrm>
          <a:prstGeom prst="downArrow">
            <a:avLst/>
          </a:prstGeom>
          <a:solidFill>
            <a:schemeClr val="accent1">
              <a:alpha val="21000"/>
            </a:schemeClr>
          </a:solidFill>
          <a:ln>
            <a:solidFill>
              <a:srgbClr val="0070C0">
                <a:alpha val="50000"/>
              </a:srgb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SG" sz="1100"/>
          </a:p>
        </xdr:txBody>
      </xdr:sp>
    </xdr:grpSp>
    <xdr:clientData/>
  </xdr:twoCellAnchor>
  <xdr:twoCellAnchor>
    <xdr:from>
      <xdr:col>2</xdr:col>
      <xdr:colOff>600929</xdr:colOff>
      <xdr:row>18</xdr:row>
      <xdr:rowOff>156882</xdr:rowOff>
    </xdr:from>
    <xdr:to>
      <xdr:col>11</xdr:col>
      <xdr:colOff>154528</xdr:colOff>
      <xdr:row>37</xdr:row>
      <xdr:rowOff>137382</xdr:rowOff>
    </xdr:to>
    <xdr:graphicFrame macro="">
      <xdr:nvGraphicFramePr>
        <xdr:cNvPr id="28" name="Chart 27">
          <a:extLst>
            <a:ext uri="{FF2B5EF4-FFF2-40B4-BE49-F238E27FC236}">
              <a16:creationId xmlns:a16="http://schemas.microsoft.com/office/drawing/2014/main" id="{00000000-0008-0000-04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48776</xdr:colOff>
      <xdr:row>28</xdr:row>
      <xdr:rowOff>45206</xdr:rowOff>
    </xdr:from>
    <xdr:to>
      <xdr:col>10</xdr:col>
      <xdr:colOff>559687</xdr:colOff>
      <xdr:row>33</xdr:row>
      <xdr:rowOff>15116</xdr:rowOff>
    </xdr:to>
    <xdr:sp macro="" textlink="">
      <xdr:nvSpPr>
        <xdr:cNvPr id="29" name="Down Arrow 17">
          <a:extLst>
            <a:ext uri="{FF2B5EF4-FFF2-40B4-BE49-F238E27FC236}">
              <a16:creationId xmlns:a16="http://schemas.microsoft.com/office/drawing/2014/main" id="{00000000-0008-0000-0400-00001D000000}"/>
            </a:ext>
          </a:extLst>
        </xdr:cNvPr>
        <xdr:cNvSpPr/>
      </xdr:nvSpPr>
      <xdr:spPr>
        <a:xfrm rot="15783428">
          <a:off x="6705168" y="3835945"/>
          <a:ext cx="936214" cy="4155258"/>
        </a:xfrm>
        <a:prstGeom prst="downArrow">
          <a:avLst/>
        </a:prstGeom>
        <a:solidFill>
          <a:schemeClr val="accent1">
            <a:alpha val="21000"/>
          </a:schemeClr>
        </a:solidFill>
        <a:ln>
          <a:solidFill>
            <a:srgbClr val="0070C0">
              <a:alpha val="50000"/>
            </a:srgb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marL="0" indent="0" algn="ctr"/>
          <a:endParaRPr lang="en-SG" sz="1100">
            <a:solidFill>
              <a:schemeClr val="lt1"/>
            </a:solidFill>
            <a:latin typeface="+mn-lt"/>
            <a:ea typeface="+mn-ea"/>
            <a:cs typeface="+mn-cs"/>
          </a:endParaRPr>
        </a:p>
      </xdr:txBody>
    </xdr:sp>
    <xdr:clientData/>
  </xdr:twoCellAnchor>
  <xdr:twoCellAnchor>
    <xdr:from>
      <xdr:col>3</xdr:col>
      <xdr:colOff>11205</xdr:colOff>
      <xdr:row>37</xdr:row>
      <xdr:rowOff>134470</xdr:rowOff>
    </xdr:from>
    <xdr:to>
      <xdr:col>11</xdr:col>
      <xdr:colOff>169922</xdr:colOff>
      <xdr:row>56</xdr:row>
      <xdr:rowOff>114970</xdr:rowOff>
    </xdr:to>
    <xdr:grpSp>
      <xdr:nvGrpSpPr>
        <xdr:cNvPr id="30" name="Group 29">
          <a:extLst>
            <a:ext uri="{FF2B5EF4-FFF2-40B4-BE49-F238E27FC236}">
              <a16:creationId xmlns:a16="http://schemas.microsoft.com/office/drawing/2014/main" id="{00000000-0008-0000-0400-00001E000000}"/>
            </a:ext>
          </a:extLst>
        </xdr:cNvPr>
        <xdr:cNvGrpSpPr/>
      </xdr:nvGrpSpPr>
      <xdr:grpSpPr>
        <a:xfrm>
          <a:off x="4397675" y="7257513"/>
          <a:ext cx="5035517" cy="3505579"/>
          <a:chOff x="5249056" y="8517831"/>
          <a:chExt cx="5400000" cy="3600000"/>
        </a:xfrm>
      </xdr:grpSpPr>
      <xdr:graphicFrame macro="">
        <xdr:nvGraphicFramePr>
          <xdr:cNvPr id="31" name="Chart 30">
            <a:extLst>
              <a:ext uri="{FF2B5EF4-FFF2-40B4-BE49-F238E27FC236}">
                <a16:creationId xmlns:a16="http://schemas.microsoft.com/office/drawing/2014/main" id="{00000000-0008-0000-0400-00001F000000}"/>
              </a:ext>
            </a:extLst>
          </xdr:cNvPr>
          <xdr:cNvGraphicFramePr>
            <a:graphicFrameLocks/>
          </xdr:cNvGraphicFramePr>
        </xdr:nvGraphicFramePr>
        <xdr:xfrm>
          <a:off x="5249056" y="8517831"/>
          <a:ext cx="5400000" cy="3600000"/>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32" name="Down Arrow 31">
            <a:extLst>
              <a:ext uri="{FF2B5EF4-FFF2-40B4-BE49-F238E27FC236}">
                <a16:creationId xmlns:a16="http://schemas.microsoft.com/office/drawing/2014/main" id="{00000000-0008-0000-0400-000020000000}"/>
              </a:ext>
            </a:extLst>
          </xdr:cNvPr>
          <xdr:cNvSpPr/>
        </xdr:nvSpPr>
        <xdr:spPr>
          <a:xfrm rot="17709058">
            <a:off x="8018087" y="8021012"/>
            <a:ext cx="886372" cy="4069859"/>
          </a:xfrm>
          <a:prstGeom prst="downArrow">
            <a:avLst/>
          </a:prstGeom>
          <a:solidFill>
            <a:schemeClr val="accent1">
              <a:alpha val="21000"/>
            </a:schemeClr>
          </a:solidFill>
          <a:ln>
            <a:solidFill>
              <a:srgbClr val="0070C0">
                <a:alpha val="50000"/>
              </a:srgb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marL="0" indent="0" algn="ctr"/>
            <a:endParaRPr lang="en-SG" sz="1100">
              <a:solidFill>
                <a:schemeClr val="lt1"/>
              </a:solidFill>
              <a:latin typeface="+mn-lt"/>
              <a:ea typeface="+mn-ea"/>
              <a:cs typeface="+mn-cs"/>
            </a:endParaRPr>
          </a:p>
        </xdr:txBody>
      </xdr:sp>
    </xdr:grpSp>
    <xdr:clientData/>
  </xdr:twoCellAnchor>
  <xdr:twoCellAnchor>
    <xdr:from>
      <xdr:col>6</xdr:col>
      <xdr:colOff>47954</xdr:colOff>
      <xdr:row>45</xdr:row>
      <xdr:rowOff>23769</xdr:rowOff>
    </xdr:from>
    <xdr:to>
      <xdr:col>10</xdr:col>
      <xdr:colOff>432247</xdr:colOff>
      <xdr:row>48</xdr:row>
      <xdr:rowOff>154586</xdr:rowOff>
    </xdr:to>
    <xdr:sp macro="" textlink="">
      <xdr:nvSpPr>
        <xdr:cNvPr id="33" name="Down Arrow 19">
          <a:extLst>
            <a:ext uri="{FF2B5EF4-FFF2-40B4-BE49-F238E27FC236}">
              <a16:creationId xmlns:a16="http://schemas.microsoft.com/office/drawing/2014/main" id="{00000000-0008-0000-0400-000021000000}"/>
            </a:ext>
          </a:extLst>
        </xdr:cNvPr>
        <xdr:cNvSpPr/>
      </xdr:nvSpPr>
      <xdr:spPr>
        <a:xfrm rot="15651487">
          <a:off x="7330867" y="7563413"/>
          <a:ext cx="687408" cy="2822693"/>
        </a:xfrm>
        <a:prstGeom prst="downArrow">
          <a:avLst/>
        </a:prstGeom>
        <a:solidFill>
          <a:schemeClr val="bg1">
            <a:lumMod val="75000"/>
            <a:alpha val="21000"/>
          </a:schemeClr>
        </a:solidFill>
        <a:ln>
          <a:solidFill>
            <a:schemeClr val="bg1">
              <a:lumMod val="75000"/>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marL="0" indent="0" algn="ctr"/>
          <a:endParaRPr lang="en-SG" sz="1100">
            <a:solidFill>
              <a:schemeClr val="lt1"/>
            </a:solidFill>
            <a:latin typeface="+mn-lt"/>
            <a:ea typeface="+mn-ea"/>
            <a:cs typeface="+mn-cs"/>
          </a:endParaRPr>
        </a:p>
      </xdr:txBody>
    </xdr:sp>
    <xdr:clientData/>
  </xdr:twoCellAnchor>
  <xdr:twoCellAnchor>
    <xdr:from>
      <xdr:col>3</xdr:col>
      <xdr:colOff>22413</xdr:colOff>
      <xdr:row>56</xdr:row>
      <xdr:rowOff>112059</xdr:rowOff>
    </xdr:from>
    <xdr:to>
      <xdr:col>11</xdr:col>
      <xdr:colOff>185612</xdr:colOff>
      <xdr:row>75</xdr:row>
      <xdr:rowOff>91198</xdr:rowOff>
    </xdr:to>
    <xdr:graphicFrame macro="">
      <xdr:nvGraphicFramePr>
        <xdr:cNvPr id="34" name="Chart 33">
          <a:extLst>
            <a:ext uri="{FF2B5EF4-FFF2-40B4-BE49-F238E27FC236}">
              <a16:creationId xmlns:a16="http://schemas.microsoft.com/office/drawing/2014/main" id="{00000000-0008-0000-04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606899</xdr:colOff>
      <xdr:row>64</xdr:row>
      <xdr:rowOff>80516</xdr:rowOff>
    </xdr:from>
    <xdr:to>
      <xdr:col>10</xdr:col>
      <xdr:colOff>506000</xdr:colOff>
      <xdr:row>68</xdr:row>
      <xdr:rowOff>22491</xdr:rowOff>
    </xdr:to>
    <xdr:sp macro="" textlink="">
      <xdr:nvSpPr>
        <xdr:cNvPr id="39" name="Down Arrow 19">
          <a:extLst>
            <a:ext uri="{FF2B5EF4-FFF2-40B4-BE49-F238E27FC236}">
              <a16:creationId xmlns:a16="http://schemas.microsoft.com/office/drawing/2014/main" id="{00000000-0008-0000-0400-000027000000}"/>
            </a:ext>
          </a:extLst>
        </xdr:cNvPr>
        <xdr:cNvSpPr/>
      </xdr:nvSpPr>
      <xdr:spPr>
        <a:xfrm rot="15158160">
          <a:off x="7344071" y="11081379"/>
          <a:ext cx="684097" cy="2947101"/>
        </a:xfrm>
        <a:prstGeom prst="downArrow">
          <a:avLst/>
        </a:prstGeom>
        <a:solidFill>
          <a:schemeClr val="bg1">
            <a:lumMod val="75000"/>
            <a:alpha val="21000"/>
          </a:schemeClr>
        </a:solidFill>
        <a:ln>
          <a:solidFill>
            <a:schemeClr val="bg1">
              <a:lumMod val="75000"/>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marL="0" indent="0" algn="ctr"/>
          <a:endParaRPr lang="en-SG" sz="1100">
            <a:solidFill>
              <a:schemeClr val="lt1"/>
            </a:solidFill>
            <a:latin typeface="+mn-lt"/>
            <a:ea typeface="+mn-ea"/>
            <a:cs typeface="+mn-cs"/>
          </a:endParaRPr>
        </a:p>
      </xdr:txBody>
    </xdr:sp>
    <xdr:clientData/>
  </xdr:twoCellAnchor>
  <xdr:twoCellAnchor>
    <xdr:from>
      <xdr:col>4</xdr:col>
      <xdr:colOff>412400</xdr:colOff>
      <xdr:row>63</xdr:row>
      <xdr:rowOff>24991</xdr:rowOff>
    </xdr:from>
    <xdr:to>
      <xdr:col>10</xdr:col>
      <xdr:colOff>478505</xdr:colOff>
      <xdr:row>67</xdr:row>
      <xdr:rowOff>184297</xdr:rowOff>
    </xdr:to>
    <xdr:sp macro="" textlink="">
      <xdr:nvSpPr>
        <xdr:cNvPr id="40" name="Down Arrow 17">
          <a:extLst>
            <a:ext uri="{FF2B5EF4-FFF2-40B4-BE49-F238E27FC236}">
              <a16:creationId xmlns:a16="http://schemas.microsoft.com/office/drawing/2014/main" id="{00000000-0008-0000-0400-000028000000}"/>
            </a:ext>
          </a:extLst>
        </xdr:cNvPr>
        <xdr:cNvSpPr/>
      </xdr:nvSpPr>
      <xdr:spPr>
        <a:xfrm rot="17237777">
          <a:off x="6819609" y="10560687"/>
          <a:ext cx="901428" cy="3723705"/>
        </a:xfrm>
        <a:prstGeom prst="downArrow">
          <a:avLst/>
        </a:prstGeom>
        <a:solidFill>
          <a:schemeClr val="accent1">
            <a:alpha val="21000"/>
          </a:schemeClr>
        </a:solidFill>
        <a:ln>
          <a:solidFill>
            <a:srgbClr val="0070C0">
              <a:alpha val="50000"/>
            </a:srgb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marL="0" indent="0" algn="ctr"/>
          <a:endParaRPr lang="en-SG" sz="1100">
            <a:solidFill>
              <a:schemeClr val="lt1"/>
            </a:solidFill>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9"/>
  <sheetViews>
    <sheetView tabSelected="1" zoomScale="70" zoomScaleNormal="70" workbookViewId="0">
      <selection activeCell="D7" sqref="D7"/>
    </sheetView>
  </sheetViews>
  <sheetFormatPr defaultRowHeight="14.4" x14ac:dyDescent="0.3"/>
  <cols>
    <col min="1" max="1" width="138.77734375" style="1" customWidth="1"/>
    <col min="3" max="3" width="24.77734375" bestFit="1" customWidth="1"/>
    <col min="4" max="4" width="83.5546875" customWidth="1"/>
  </cols>
  <sheetData>
    <row r="1" spans="1:4" s="27" customFormat="1" ht="23.4" x14ac:dyDescent="0.45">
      <c r="A1" s="26" t="s">
        <v>318</v>
      </c>
      <c r="C1" s="27" t="s">
        <v>85</v>
      </c>
    </row>
    <row r="2" spans="1:4" s="27" customFormat="1" ht="23.4" x14ac:dyDescent="0.45">
      <c r="A2" s="26"/>
    </row>
    <row r="3" spans="1:4" s="29" customFormat="1" ht="18" x14ac:dyDescent="0.35">
      <c r="A3" s="28" t="s">
        <v>65</v>
      </c>
      <c r="C3" s="29" t="s">
        <v>239</v>
      </c>
      <c r="D3" s="80" t="s">
        <v>86</v>
      </c>
    </row>
    <row r="4" spans="1:4" s="29" customFormat="1" ht="18" x14ac:dyDescent="0.35">
      <c r="A4" s="28"/>
      <c r="C4" s="29" t="s">
        <v>262</v>
      </c>
      <c r="D4" s="29" t="s">
        <v>263</v>
      </c>
    </row>
    <row r="5" spans="1:4" s="31" customFormat="1" ht="18" x14ac:dyDescent="0.35">
      <c r="A5" s="30" t="s">
        <v>66</v>
      </c>
      <c r="C5" s="29" t="s">
        <v>315</v>
      </c>
      <c r="D5" s="29" t="s">
        <v>306</v>
      </c>
    </row>
    <row r="6" spans="1:4" s="33" customFormat="1" ht="18" x14ac:dyDescent="0.35">
      <c r="A6" s="32" t="s">
        <v>67</v>
      </c>
      <c r="C6" s="29" t="s">
        <v>319</v>
      </c>
      <c r="D6" s="29" t="s">
        <v>342</v>
      </c>
    </row>
    <row r="7" spans="1:4" s="29" customFormat="1" ht="18" x14ac:dyDescent="0.35">
      <c r="A7" s="28"/>
    </row>
    <row r="8" spans="1:4" s="30" customFormat="1" ht="36" x14ac:dyDescent="0.35">
      <c r="A8" s="30" t="s">
        <v>68</v>
      </c>
    </row>
    <row r="9" spans="1:4" s="29" customFormat="1" ht="18" x14ac:dyDescent="0.35">
      <c r="A9" s="28" t="s">
        <v>69</v>
      </c>
    </row>
    <row r="10" spans="1:4" s="29" customFormat="1" ht="18" x14ac:dyDescent="0.35">
      <c r="A10" s="28" t="s">
        <v>70</v>
      </c>
    </row>
    <row r="11" spans="1:4" s="29" customFormat="1" ht="18" x14ac:dyDescent="0.35">
      <c r="A11" s="28"/>
    </row>
    <row r="12" spans="1:4" s="30" customFormat="1" ht="18" x14ac:dyDescent="0.35">
      <c r="A12" s="30" t="s">
        <v>71</v>
      </c>
    </row>
    <row r="13" spans="1:4" s="29" customFormat="1" ht="18" x14ac:dyDescent="0.35">
      <c r="A13" s="28" t="s">
        <v>72</v>
      </c>
    </row>
    <row r="14" spans="1:4" s="29" customFormat="1" ht="18" x14ac:dyDescent="0.35">
      <c r="A14" s="28" t="s">
        <v>73</v>
      </c>
    </row>
    <row r="15" spans="1:4" s="29" customFormat="1" ht="18" x14ac:dyDescent="0.35">
      <c r="A15" s="28" t="s">
        <v>74</v>
      </c>
    </row>
    <row r="16" spans="1:4" s="29" customFormat="1" ht="18" x14ac:dyDescent="0.35">
      <c r="A16" s="28" t="s">
        <v>75</v>
      </c>
    </row>
    <row r="17" spans="1:1" s="29" customFormat="1" ht="18" x14ac:dyDescent="0.35">
      <c r="A17" s="28"/>
    </row>
    <row r="18" spans="1:1" s="29" customFormat="1" ht="18" x14ac:dyDescent="0.35">
      <c r="A18" s="28" t="s">
        <v>140</v>
      </c>
    </row>
    <row r="19" spans="1:1" s="29" customFormat="1" ht="18" x14ac:dyDescent="0.35">
      <c r="A19" s="28"/>
    </row>
  </sheetData>
  <pageMargins left="0.7" right="0.7" top="0.75" bottom="0.75" header="0.3" footer="0.3"/>
  <pageSetup paperSize="9" orientation="portrait" horizontalDpi="4294967292"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X51"/>
  <sheetViews>
    <sheetView zoomScaleNormal="100" workbookViewId="0">
      <selection activeCell="E42" sqref="E42"/>
    </sheetView>
  </sheetViews>
  <sheetFormatPr defaultColWidth="9.21875" defaultRowHeight="14.4" x14ac:dyDescent="0.3"/>
  <cols>
    <col min="1" max="1" width="3.21875" style="12" customWidth="1"/>
    <col min="2" max="2" width="35.21875" style="12" customWidth="1"/>
    <col min="3" max="3" width="3.21875" style="85" customWidth="1"/>
    <col min="4" max="4" width="58.77734375" style="12" customWidth="1"/>
    <col min="5" max="5" width="14.21875" style="12" customWidth="1"/>
    <col min="6" max="6" width="8.77734375" style="12" customWidth="1"/>
    <col min="7" max="8" width="9.21875" style="12"/>
    <col min="9" max="9" width="45.5546875" style="12" customWidth="1"/>
    <col min="10" max="16384" width="9.21875" style="12"/>
  </cols>
  <sheetData>
    <row r="1" spans="2:9" ht="15" thickBot="1" x14ac:dyDescent="0.35"/>
    <row r="2" spans="2:9" ht="18" x14ac:dyDescent="0.35">
      <c r="B2" s="44" t="s">
        <v>76</v>
      </c>
      <c r="C2" s="45"/>
      <c r="D2" s="46"/>
      <c r="E2" s="46"/>
      <c r="F2" s="47"/>
      <c r="H2" s="44" t="s">
        <v>79</v>
      </c>
      <c r="I2" s="47"/>
    </row>
    <row r="3" spans="2:9" x14ac:dyDescent="0.3">
      <c r="B3" s="48"/>
      <c r="C3" s="35"/>
      <c r="D3" s="41"/>
      <c r="E3" s="41"/>
      <c r="F3" s="49"/>
      <c r="H3" s="52"/>
      <c r="I3" s="49"/>
    </row>
    <row r="4" spans="2:9" x14ac:dyDescent="0.3">
      <c r="B4" s="189" t="s">
        <v>147</v>
      </c>
      <c r="C4" s="185" t="s">
        <v>78</v>
      </c>
      <c r="D4" s="36" t="s">
        <v>141</v>
      </c>
      <c r="E4" s="41"/>
      <c r="F4" s="49"/>
      <c r="H4" s="81">
        <v>1</v>
      </c>
      <c r="I4" s="49" t="s">
        <v>80</v>
      </c>
    </row>
    <row r="5" spans="2:9" x14ac:dyDescent="0.3">
      <c r="B5" s="189"/>
      <c r="C5" s="185"/>
      <c r="D5" s="40" t="s">
        <v>142</v>
      </c>
      <c r="E5" s="41"/>
      <c r="F5" s="49"/>
      <c r="H5" s="81">
        <v>2</v>
      </c>
      <c r="I5" s="49" t="s">
        <v>81</v>
      </c>
    </row>
    <row r="6" spans="2:9" x14ac:dyDescent="0.3">
      <c r="B6" s="50"/>
      <c r="C6" s="38"/>
      <c r="D6" s="41"/>
      <c r="E6" s="41"/>
      <c r="F6" s="49"/>
      <c r="H6" s="81">
        <v>3</v>
      </c>
      <c r="I6" s="49" t="s">
        <v>82</v>
      </c>
    </row>
    <row r="7" spans="2:9" x14ac:dyDescent="0.3">
      <c r="B7" s="189" t="s">
        <v>148</v>
      </c>
      <c r="C7" s="185" t="s">
        <v>78</v>
      </c>
      <c r="D7" s="36" t="s">
        <v>143</v>
      </c>
      <c r="E7" s="41"/>
      <c r="F7" s="49"/>
      <c r="H7" s="81">
        <v>4</v>
      </c>
      <c r="I7" s="49" t="s">
        <v>83</v>
      </c>
    </row>
    <row r="8" spans="2:9" x14ac:dyDescent="0.3">
      <c r="B8" s="189"/>
      <c r="C8" s="185"/>
      <c r="D8" s="40" t="s">
        <v>142</v>
      </c>
      <c r="E8" s="41"/>
      <c r="F8" s="49"/>
      <c r="H8" s="81">
        <v>5</v>
      </c>
      <c r="I8" s="49" t="s">
        <v>6</v>
      </c>
    </row>
    <row r="9" spans="2:9" x14ac:dyDescent="0.3">
      <c r="B9" s="51"/>
      <c r="C9" s="77"/>
      <c r="D9" s="40"/>
      <c r="E9" s="41"/>
      <c r="F9" s="49"/>
      <c r="H9" s="81">
        <v>6</v>
      </c>
      <c r="I9" s="49" t="s">
        <v>84</v>
      </c>
    </row>
    <row r="10" spans="2:9" x14ac:dyDescent="0.3">
      <c r="B10" s="51" t="s">
        <v>149</v>
      </c>
      <c r="C10" s="39"/>
      <c r="D10" s="184" t="s">
        <v>144</v>
      </c>
      <c r="E10" s="41"/>
      <c r="F10" s="49"/>
      <c r="H10" s="81">
        <v>7</v>
      </c>
      <c r="I10" s="49" t="s">
        <v>246</v>
      </c>
    </row>
    <row r="11" spans="2:9" ht="16.2" x14ac:dyDescent="0.3">
      <c r="B11" s="51" t="s">
        <v>150</v>
      </c>
      <c r="C11" s="39"/>
      <c r="D11" s="184"/>
      <c r="E11" s="41"/>
      <c r="F11" s="49"/>
      <c r="H11" s="81">
        <v>8</v>
      </c>
      <c r="I11" s="49" t="s">
        <v>298</v>
      </c>
    </row>
    <row r="12" spans="2:9" x14ac:dyDescent="0.3">
      <c r="B12" s="50"/>
      <c r="C12" s="38"/>
      <c r="D12" s="41"/>
      <c r="E12" s="41"/>
      <c r="F12" s="49"/>
      <c r="H12" s="81">
        <v>9</v>
      </c>
      <c r="I12" s="49" t="s">
        <v>332</v>
      </c>
    </row>
    <row r="13" spans="2:9" ht="15" thickBot="1" x14ac:dyDescent="0.35">
      <c r="B13" s="51" t="s">
        <v>259</v>
      </c>
      <c r="C13" s="38"/>
      <c r="D13" s="187" t="s">
        <v>145</v>
      </c>
      <c r="E13" s="41"/>
      <c r="F13" s="49"/>
      <c r="H13" s="82"/>
      <c r="I13" s="57"/>
    </row>
    <row r="14" spans="2:9" x14ac:dyDescent="0.3">
      <c r="B14" s="51" t="s">
        <v>260</v>
      </c>
      <c r="C14" s="38"/>
      <c r="D14" s="187"/>
      <c r="E14" s="41"/>
      <c r="F14" s="49"/>
      <c r="H14" s="37"/>
    </row>
    <row r="15" spans="2:9" x14ac:dyDescent="0.3">
      <c r="B15" s="50"/>
      <c r="C15" s="38"/>
      <c r="D15" s="41"/>
      <c r="E15" s="41"/>
      <c r="F15" s="49"/>
      <c r="H15" s="37"/>
    </row>
    <row r="16" spans="2:9" ht="30" customHeight="1" x14ac:dyDescent="0.3">
      <c r="B16" s="51" t="s">
        <v>146</v>
      </c>
      <c r="C16" s="38"/>
      <c r="D16" s="188" t="s">
        <v>164</v>
      </c>
      <c r="E16" s="188"/>
      <c r="F16" s="49"/>
      <c r="H16" s="37"/>
    </row>
    <row r="17" spans="2:8" x14ac:dyDescent="0.3">
      <c r="B17" s="50"/>
      <c r="C17" s="38"/>
      <c r="D17" s="41"/>
      <c r="E17" s="41"/>
      <c r="F17" s="49"/>
      <c r="H17" s="37"/>
    </row>
    <row r="18" spans="2:8" x14ac:dyDescent="0.3">
      <c r="B18" s="51" t="s">
        <v>151</v>
      </c>
      <c r="C18" s="38"/>
      <c r="D18" s="78" t="s">
        <v>152</v>
      </c>
      <c r="E18" s="41"/>
      <c r="F18" s="49"/>
      <c r="H18" s="37"/>
    </row>
    <row r="19" spans="2:8" x14ac:dyDescent="0.3">
      <c r="B19" s="50"/>
      <c r="C19" s="38"/>
      <c r="D19" s="41"/>
      <c r="E19" s="41"/>
      <c r="F19" s="49"/>
      <c r="H19" s="37"/>
    </row>
    <row r="20" spans="2:8" ht="32.25" customHeight="1" x14ac:dyDescent="0.3">
      <c r="B20" s="83" t="s">
        <v>153</v>
      </c>
      <c r="C20" s="38"/>
      <c r="D20" s="184" t="s">
        <v>168</v>
      </c>
      <c r="E20" s="184"/>
      <c r="F20" s="49"/>
      <c r="H20" s="37"/>
    </row>
    <row r="21" spans="2:8" x14ac:dyDescent="0.3">
      <c r="B21" s="51"/>
      <c r="C21" s="38"/>
      <c r="D21" s="41"/>
      <c r="E21" s="41"/>
      <c r="F21" s="49"/>
      <c r="H21" s="37"/>
    </row>
    <row r="22" spans="2:8" ht="16.2" x14ac:dyDescent="0.3">
      <c r="B22" s="51" t="s">
        <v>154</v>
      </c>
      <c r="C22" s="35"/>
      <c r="D22" s="41" t="s">
        <v>169</v>
      </c>
      <c r="E22" s="41"/>
      <c r="F22" s="49"/>
      <c r="H22" s="37"/>
    </row>
    <row r="23" spans="2:8" x14ac:dyDescent="0.3">
      <c r="B23" s="52"/>
      <c r="C23" s="35"/>
      <c r="D23" s="41"/>
      <c r="E23" s="41"/>
      <c r="F23" s="49"/>
      <c r="H23" s="37"/>
    </row>
    <row r="24" spans="2:8" x14ac:dyDescent="0.3">
      <c r="B24" s="51" t="s">
        <v>44</v>
      </c>
      <c r="C24" s="86" t="s">
        <v>78</v>
      </c>
      <c r="D24" s="41" t="s">
        <v>155</v>
      </c>
      <c r="E24" s="41"/>
      <c r="F24" s="49"/>
      <c r="H24" s="37"/>
    </row>
    <row r="25" spans="2:8" x14ac:dyDescent="0.3">
      <c r="B25" s="106" t="s">
        <v>212</v>
      </c>
      <c r="C25" s="86" t="s">
        <v>78</v>
      </c>
      <c r="D25" s="41" t="s">
        <v>213</v>
      </c>
      <c r="E25" s="41"/>
      <c r="F25" s="49"/>
      <c r="H25" s="37"/>
    </row>
    <row r="26" spans="2:8" x14ac:dyDescent="0.3">
      <c r="B26" s="52"/>
      <c r="C26" s="35"/>
      <c r="D26" s="41"/>
      <c r="E26" s="41"/>
      <c r="F26" s="49"/>
      <c r="H26" s="37"/>
    </row>
    <row r="27" spans="2:8" ht="15" customHeight="1" x14ac:dyDescent="0.3">
      <c r="B27" s="51" t="s">
        <v>45</v>
      </c>
      <c r="C27" s="35"/>
      <c r="D27" s="184" t="s">
        <v>156</v>
      </c>
      <c r="E27" s="184"/>
      <c r="F27" s="53"/>
      <c r="H27" s="37"/>
    </row>
    <row r="28" spans="2:8" x14ac:dyDescent="0.3">
      <c r="B28" s="51" t="s">
        <v>46</v>
      </c>
      <c r="C28" s="35"/>
      <c r="D28" s="184"/>
      <c r="E28" s="184"/>
      <c r="F28" s="53"/>
      <c r="H28" s="37"/>
    </row>
    <row r="29" spans="2:8" x14ac:dyDescent="0.3">
      <c r="B29" s="52"/>
      <c r="C29" s="35"/>
      <c r="D29" s="41"/>
      <c r="E29" s="41"/>
      <c r="F29" s="49"/>
      <c r="H29" s="37"/>
    </row>
    <row r="30" spans="2:8" x14ac:dyDescent="0.3">
      <c r="B30" s="186" t="s">
        <v>47</v>
      </c>
      <c r="C30" s="185" t="s">
        <v>78</v>
      </c>
      <c r="D30" s="36" t="s">
        <v>157</v>
      </c>
      <c r="E30" s="41"/>
      <c r="F30" s="49"/>
      <c r="H30" s="37"/>
    </row>
    <row r="31" spans="2:8" x14ac:dyDescent="0.3">
      <c r="B31" s="186"/>
      <c r="C31" s="185"/>
      <c r="D31" s="40" t="s">
        <v>158</v>
      </c>
      <c r="E31" s="41"/>
      <c r="F31" s="49"/>
      <c r="H31" s="37"/>
    </row>
    <row r="32" spans="2:8" x14ac:dyDescent="0.3">
      <c r="B32" s="52"/>
      <c r="C32" s="35"/>
      <c r="D32" s="41"/>
      <c r="E32" s="41"/>
      <c r="F32" s="49"/>
      <c r="H32" s="37"/>
    </row>
    <row r="33" spans="2:24" x14ac:dyDescent="0.3">
      <c r="B33" s="186" t="s">
        <v>48</v>
      </c>
      <c r="C33" s="185" t="s">
        <v>78</v>
      </c>
      <c r="D33" s="36" t="s">
        <v>159</v>
      </c>
      <c r="E33" s="41"/>
      <c r="F33" s="49"/>
      <c r="H33" s="37"/>
    </row>
    <row r="34" spans="2:24" s="41" customFormat="1" x14ac:dyDescent="0.3">
      <c r="B34" s="186"/>
      <c r="C34" s="185"/>
      <c r="D34" s="40" t="s">
        <v>160</v>
      </c>
      <c r="F34" s="49"/>
      <c r="G34" s="12"/>
      <c r="H34" s="37"/>
      <c r="I34" s="12"/>
      <c r="J34" s="12"/>
      <c r="K34" s="12"/>
      <c r="L34" s="12"/>
      <c r="M34" s="12"/>
      <c r="N34" s="12"/>
      <c r="O34" s="12"/>
      <c r="P34" s="12"/>
      <c r="Q34" s="12"/>
      <c r="R34" s="12"/>
      <c r="S34" s="12"/>
      <c r="T34" s="12"/>
      <c r="U34" s="12"/>
      <c r="V34" s="12"/>
      <c r="W34" s="12"/>
      <c r="X34" s="12"/>
    </row>
    <row r="35" spans="2:24" s="41" customFormat="1" x14ac:dyDescent="0.3">
      <c r="B35" s="52"/>
      <c r="C35" s="35"/>
      <c r="F35" s="49"/>
      <c r="G35" s="12"/>
      <c r="H35" s="37"/>
      <c r="I35" s="12"/>
      <c r="J35" s="12"/>
      <c r="K35" s="12"/>
      <c r="L35" s="12"/>
      <c r="M35" s="12"/>
      <c r="N35" s="12"/>
      <c r="O35" s="12"/>
      <c r="P35" s="12"/>
      <c r="Q35" s="12"/>
      <c r="R35" s="12"/>
      <c r="S35" s="12"/>
      <c r="T35" s="12"/>
      <c r="U35" s="12"/>
      <c r="V35" s="12"/>
      <c r="W35" s="12"/>
      <c r="X35" s="12"/>
    </row>
    <row r="36" spans="2:24" s="43" customFormat="1" ht="27.75" customHeight="1" x14ac:dyDescent="0.3">
      <c r="B36" s="83" t="s">
        <v>161</v>
      </c>
      <c r="C36" s="35"/>
      <c r="D36" s="184" t="s">
        <v>165</v>
      </c>
      <c r="E36" s="184"/>
      <c r="F36" s="49"/>
      <c r="G36" s="12"/>
      <c r="H36" s="37"/>
      <c r="I36" s="12"/>
      <c r="J36" s="12"/>
      <c r="K36" s="12"/>
      <c r="L36" s="12"/>
      <c r="M36" s="12"/>
      <c r="N36" s="12"/>
      <c r="O36" s="12"/>
      <c r="P36" s="12"/>
      <c r="Q36" s="12"/>
      <c r="R36" s="12"/>
      <c r="S36" s="12"/>
      <c r="T36" s="12"/>
      <c r="U36" s="12"/>
      <c r="V36" s="12"/>
      <c r="W36" s="12"/>
      <c r="X36" s="12"/>
    </row>
    <row r="37" spans="2:24" s="43" customFormat="1" x14ac:dyDescent="0.3">
      <c r="B37" s="83"/>
      <c r="C37" s="35"/>
      <c r="D37" s="79"/>
      <c r="E37" s="79"/>
      <c r="F37" s="49"/>
      <c r="G37" s="12"/>
      <c r="H37" s="37"/>
      <c r="I37" s="12"/>
      <c r="J37" s="12"/>
      <c r="K37" s="12"/>
      <c r="L37" s="12"/>
      <c r="M37" s="12"/>
      <c r="N37" s="12"/>
      <c r="O37" s="12"/>
      <c r="P37" s="12"/>
      <c r="Q37" s="12"/>
      <c r="R37" s="12"/>
      <c r="S37" s="12"/>
      <c r="T37" s="12"/>
      <c r="U37" s="12"/>
      <c r="V37" s="12"/>
      <c r="W37" s="12"/>
      <c r="X37" s="12"/>
    </row>
    <row r="38" spans="2:24" s="43" customFormat="1" x14ac:dyDescent="0.3">
      <c r="B38" s="83" t="s">
        <v>183</v>
      </c>
      <c r="C38" s="185" t="s">
        <v>78</v>
      </c>
      <c r="D38" s="36" t="s">
        <v>185</v>
      </c>
      <c r="E38" s="79"/>
      <c r="F38" s="49"/>
      <c r="G38" s="12"/>
      <c r="H38" s="37"/>
      <c r="I38" s="12"/>
      <c r="J38" s="12"/>
      <c r="K38" s="12"/>
      <c r="L38" s="12"/>
      <c r="M38" s="12"/>
      <c r="N38" s="12"/>
      <c r="O38" s="12"/>
      <c r="P38" s="12"/>
      <c r="Q38" s="12"/>
      <c r="R38" s="12"/>
      <c r="S38" s="12"/>
      <c r="T38" s="12"/>
      <c r="U38" s="12"/>
      <c r="V38" s="12"/>
      <c r="W38" s="12"/>
      <c r="X38" s="12"/>
    </row>
    <row r="39" spans="2:24" s="43" customFormat="1" x14ac:dyDescent="0.3">
      <c r="B39" s="83"/>
      <c r="C39" s="185"/>
      <c r="D39" s="40" t="s">
        <v>186</v>
      </c>
      <c r="E39" s="79"/>
      <c r="F39" s="49"/>
      <c r="G39" s="12"/>
      <c r="H39" s="37"/>
      <c r="I39" s="12"/>
      <c r="J39" s="12"/>
      <c r="K39" s="12"/>
      <c r="L39" s="12"/>
      <c r="M39" s="12"/>
      <c r="N39" s="12"/>
      <c r="O39" s="12"/>
      <c r="P39" s="12"/>
      <c r="Q39" s="12"/>
      <c r="R39" s="12"/>
      <c r="S39" s="12"/>
      <c r="T39" s="12"/>
      <c r="U39" s="12"/>
      <c r="V39" s="12"/>
      <c r="W39" s="12"/>
      <c r="X39" s="12"/>
    </row>
    <row r="40" spans="2:24" s="43" customFormat="1" x14ac:dyDescent="0.3">
      <c r="B40" s="83"/>
      <c r="C40" s="35"/>
      <c r="D40" s="79"/>
      <c r="E40" s="79"/>
      <c r="F40" s="49"/>
      <c r="G40" s="12"/>
      <c r="H40" s="37"/>
      <c r="I40" s="12"/>
      <c r="J40" s="12"/>
      <c r="K40" s="12"/>
      <c r="L40" s="12"/>
      <c r="M40" s="12"/>
      <c r="N40" s="12"/>
      <c r="O40" s="12"/>
      <c r="P40" s="12"/>
      <c r="Q40" s="12"/>
      <c r="R40" s="12"/>
      <c r="S40" s="12"/>
      <c r="T40" s="12"/>
      <c r="U40" s="12"/>
      <c r="V40" s="12"/>
      <c r="W40" s="12"/>
      <c r="X40" s="12"/>
    </row>
    <row r="41" spans="2:24" s="43" customFormat="1" x14ac:dyDescent="0.3">
      <c r="B41" s="83" t="s">
        <v>184</v>
      </c>
      <c r="C41" s="185" t="s">
        <v>78</v>
      </c>
      <c r="D41" s="36" t="s">
        <v>187</v>
      </c>
      <c r="E41" s="79"/>
      <c r="F41" s="49"/>
      <c r="G41" s="12"/>
      <c r="H41" s="37"/>
      <c r="I41" s="12"/>
      <c r="J41" s="12"/>
      <c r="K41" s="12"/>
      <c r="L41" s="12"/>
      <c r="M41" s="12"/>
      <c r="N41" s="12"/>
      <c r="O41" s="12"/>
      <c r="P41" s="12"/>
      <c r="Q41" s="12"/>
      <c r="R41" s="12"/>
      <c r="S41" s="12"/>
      <c r="T41" s="12"/>
      <c r="U41" s="12"/>
      <c r="V41" s="12"/>
      <c r="W41" s="12"/>
      <c r="X41" s="12"/>
    </row>
    <row r="42" spans="2:24" s="43" customFormat="1" x14ac:dyDescent="0.3">
      <c r="B42" s="83"/>
      <c r="C42" s="185"/>
      <c r="D42" s="40" t="s">
        <v>188</v>
      </c>
      <c r="E42" s="79"/>
      <c r="F42" s="49"/>
      <c r="G42" s="12"/>
      <c r="H42" s="37"/>
      <c r="I42" s="12"/>
      <c r="J42" s="12"/>
      <c r="K42" s="12"/>
      <c r="L42" s="12"/>
      <c r="M42" s="12"/>
      <c r="N42" s="12"/>
      <c r="O42" s="12"/>
      <c r="P42" s="12"/>
      <c r="Q42" s="12"/>
      <c r="R42" s="12"/>
      <c r="S42" s="12"/>
      <c r="T42" s="12"/>
      <c r="U42" s="12"/>
      <c r="V42" s="12"/>
      <c r="W42" s="12"/>
      <c r="X42" s="12"/>
    </row>
    <row r="43" spans="2:24" s="41" customFormat="1" ht="15" thickBot="1" x14ac:dyDescent="0.35">
      <c r="B43" s="54"/>
      <c r="C43" s="55"/>
      <c r="D43" s="56"/>
      <c r="E43" s="56"/>
      <c r="F43" s="57"/>
      <c r="H43" s="37"/>
      <c r="I43" s="12"/>
    </row>
    <row r="44" spans="2:24" s="41" customFormat="1" x14ac:dyDescent="0.3">
      <c r="C44" s="35"/>
      <c r="H44" s="37"/>
      <c r="I44" s="12"/>
    </row>
    <row r="45" spans="2:24" s="41" customFormat="1" x14ac:dyDescent="0.3">
      <c r="C45" s="35"/>
      <c r="D45" s="43"/>
      <c r="H45" s="37"/>
      <c r="I45" s="12"/>
      <c r="L45" s="39"/>
      <c r="M45" s="42"/>
      <c r="N45" s="42"/>
      <c r="O45" s="43"/>
      <c r="P45" s="43"/>
      <c r="Q45" s="43"/>
      <c r="R45" s="43"/>
      <c r="S45" s="43"/>
      <c r="T45" s="43"/>
      <c r="U45" s="43"/>
    </row>
    <row r="46" spans="2:24" x14ac:dyDescent="0.3">
      <c r="D46" s="41"/>
      <c r="E46" s="41"/>
      <c r="F46" s="41"/>
      <c r="G46" s="41"/>
      <c r="H46" s="40"/>
      <c r="I46" s="41"/>
      <c r="J46" s="41"/>
      <c r="K46" s="41"/>
      <c r="L46" s="41"/>
      <c r="M46" s="41"/>
      <c r="N46" s="41"/>
      <c r="O46" s="41"/>
      <c r="P46" s="41"/>
      <c r="Q46" s="41"/>
      <c r="R46" s="41"/>
      <c r="S46" s="41"/>
      <c r="T46" s="41"/>
      <c r="U46" s="41"/>
    </row>
    <row r="47" spans="2:24" x14ac:dyDescent="0.3">
      <c r="D47" s="41"/>
      <c r="E47" s="41"/>
      <c r="F47" s="41"/>
      <c r="G47" s="41"/>
      <c r="H47" s="40"/>
      <c r="I47" s="41"/>
      <c r="J47" s="41"/>
      <c r="K47" s="41"/>
      <c r="L47" s="41"/>
      <c r="M47" s="41"/>
      <c r="N47" s="41"/>
      <c r="O47" s="41"/>
      <c r="P47" s="41"/>
      <c r="Q47" s="41"/>
      <c r="R47" s="41"/>
      <c r="S47" s="41"/>
      <c r="T47" s="41"/>
      <c r="U47" s="41"/>
    </row>
    <row r="48" spans="2:24" x14ac:dyDescent="0.3">
      <c r="D48" s="41"/>
      <c r="E48" s="41"/>
      <c r="F48" s="41"/>
      <c r="G48" s="41"/>
      <c r="H48" s="41"/>
      <c r="I48" s="41"/>
      <c r="J48" s="41"/>
      <c r="K48" s="41"/>
      <c r="L48" s="41"/>
      <c r="M48" s="41"/>
      <c r="N48" s="41"/>
      <c r="O48" s="41"/>
      <c r="P48" s="41"/>
      <c r="Q48" s="41"/>
      <c r="R48" s="41"/>
      <c r="S48" s="41"/>
      <c r="T48" s="41"/>
      <c r="U48" s="41"/>
    </row>
    <row r="49" spans="8:9" x14ac:dyDescent="0.3">
      <c r="H49" s="41"/>
      <c r="I49" s="41"/>
    </row>
    <row r="50" spans="8:9" x14ac:dyDescent="0.3">
      <c r="H50" s="41"/>
      <c r="I50" s="41"/>
    </row>
    <row r="51" spans="8:9" x14ac:dyDescent="0.3">
      <c r="H51" s="41"/>
      <c r="I51" s="41"/>
    </row>
  </sheetData>
  <mergeCells count="16">
    <mergeCell ref="B4:B5"/>
    <mergeCell ref="B7:B8"/>
    <mergeCell ref="C4:C5"/>
    <mergeCell ref="C7:C8"/>
    <mergeCell ref="D10:D11"/>
    <mergeCell ref="B30:B31"/>
    <mergeCell ref="C30:C31"/>
    <mergeCell ref="B33:B34"/>
    <mergeCell ref="C33:C34"/>
    <mergeCell ref="D13:D14"/>
    <mergeCell ref="D16:E16"/>
    <mergeCell ref="D36:E36"/>
    <mergeCell ref="D20:E20"/>
    <mergeCell ref="C38:C39"/>
    <mergeCell ref="C41:C42"/>
    <mergeCell ref="D27:E28"/>
  </mergeCells>
  <pageMargins left="0.7" right="0.7" top="0.75" bottom="0.75" header="0.3" footer="0.3"/>
  <pageSetup paperSize="9" orientation="portrait" horizontalDpi="4294967293" verticalDpi="4294967293"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F57"/>
  <sheetViews>
    <sheetView zoomScale="85" zoomScaleNormal="85" workbookViewId="0">
      <pane xSplit="4" ySplit="2" topLeftCell="E3" activePane="bottomRight" state="frozen"/>
      <selection pane="topRight" activeCell="E1" sqref="E1"/>
      <selection pane="bottomLeft" activeCell="A3" sqref="A3"/>
      <selection pane="bottomRight" activeCell="AN53" sqref="AN53"/>
    </sheetView>
  </sheetViews>
  <sheetFormatPr defaultRowHeight="14.4" x14ac:dyDescent="0.3"/>
  <cols>
    <col min="1" max="1" width="9.21875" style="11"/>
    <col min="2" max="2" width="9.21875" style="67"/>
    <col min="3" max="3" width="42" style="1" customWidth="1"/>
    <col min="4" max="4" width="13" style="18" customWidth="1"/>
    <col min="5" max="5" width="14" style="18" bestFit="1" customWidth="1"/>
    <col min="6" max="6" width="14" style="18" customWidth="1"/>
    <col min="7" max="7" width="16.21875" style="18" customWidth="1"/>
    <col min="8" max="8" width="14.21875" style="69" customWidth="1"/>
    <col min="9" max="9" width="17.21875" style="18" bestFit="1" customWidth="1"/>
    <col min="10" max="10" width="20.44140625" style="18" customWidth="1"/>
    <col min="11" max="11" width="13.6640625" style="69" customWidth="1"/>
    <col min="12" max="12" width="20.44140625" style="69" customWidth="1"/>
    <col min="13" max="13" width="17.77734375" style="18" customWidth="1"/>
    <col min="14" max="14" width="14.21875" style="18" customWidth="1"/>
    <col min="15" max="15" width="18" style="18" customWidth="1"/>
    <col min="16" max="16" width="15.44140625" style="18" customWidth="1"/>
    <col min="17" max="17" width="16.77734375" style="18" customWidth="1"/>
    <col min="18" max="18" width="18.77734375" style="25" customWidth="1"/>
    <col min="19" max="19" width="18.77734375" style="18" customWidth="1"/>
    <col min="20" max="20" width="19.21875" style="18" customWidth="1"/>
    <col min="21" max="21" width="18.77734375" style="159" customWidth="1"/>
    <col min="22" max="22" width="18.77734375" style="104" customWidth="1"/>
    <col min="23" max="23" width="11.77734375" style="18" bestFit="1" customWidth="1"/>
    <col min="24" max="24" width="11.77734375" style="18" customWidth="1"/>
    <col min="25" max="25" width="17.44140625" style="63" customWidth="1"/>
    <col min="26" max="26" width="18.44140625" style="18" customWidth="1"/>
    <col min="27" max="29" width="13.77734375" style="18" customWidth="1"/>
    <col min="30" max="34" width="16" style="18" customWidth="1"/>
    <col min="35" max="35" width="17" bestFit="1" customWidth="1"/>
    <col min="37" max="37" width="11.77734375" customWidth="1"/>
    <col min="38" max="38" width="19.77734375" customWidth="1"/>
    <col min="39" max="39" width="15.33203125" style="69" customWidth="1"/>
    <col min="40" max="40" width="15.77734375" style="58" customWidth="1"/>
    <col min="41" max="41" width="18.5546875" style="58" customWidth="1"/>
    <col min="42" max="44" width="22.44140625" style="58" customWidth="1"/>
    <col min="45" max="45" width="25.21875" style="58" customWidth="1"/>
    <col min="47" max="47" width="15.77734375" bestFit="1" customWidth="1"/>
    <col min="49" max="49" width="14.21875" customWidth="1"/>
    <col min="50" max="50" width="80" customWidth="1"/>
  </cols>
  <sheetData>
    <row r="1" spans="1:84" ht="26.4" customHeight="1" thickBot="1" x14ac:dyDescent="0.5">
      <c r="B1" s="190" t="s">
        <v>31</v>
      </c>
      <c r="C1" s="190"/>
      <c r="D1" s="190"/>
      <c r="E1" s="15"/>
      <c r="F1" s="15"/>
      <c r="G1" s="15"/>
      <c r="H1" s="67"/>
      <c r="I1" s="15"/>
      <c r="J1" s="15"/>
      <c r="K1" s="67"/>
      <c r="L1" s="67"/>
      <c r="M1" s="15"/>
      <c r="N1" s="15"/>
      <c r="O1" s="15"/>
      <c r="P1" s="15"/>
      <c r="Q1" s="15"/>
      <c r="R1" s="22"/>
      <c r="S1" s="15"/>
      <c r="T1" s="15"/>
      <c r="U1" s="149"/>
      <c r="V1" s="101"/>
      <c r="W1" s="15"/>
      <c r="X1" s="15"/>
      <c r="Y1" s="61"/>
      <c r="Z1" s="15"/>
      <c r="AA1" s="15"/>
      <c r="AB1" s="15"/>
      <c r="AC1" s="15"/>
      <c r="AD1" s="15"/>
      <c r="AE1" s="15"/>
      <c r="AF1" s="15"/>
      <c r="AG1" s="15"/>
      <c r="AH1" s="15"/>
    </row>
    <row r="2" spans="1:84" s="3" customFormat="1" ht="66" customHeight="1" thickBot="1" x14ac:dyDescent="0.5">
      <c r="A2" s="84"/>
      <c r="B2" s="128" t="s">
        <v>166</v>
      </c>
      <c r="C2" s="129" t="s">
        <v>163</v>
      </c>
      <c r="D2" s="129" t="s">
        <v>162</v>
      </c>
      <c r="E2" s="129" t="s">
        <v>171</v>
      </c>
      <c r="F2" s="129" t="s">
        <v>93</v>
      </c>
      <c r="G2" s="129" t="s">
        <v>38</v>
      </c>
      <c r="H2" s="129" t="s">
        <v>126</v>
      </c>
      <c r="I2" s="129" t="s">
        <v>170</v>
      </c>
      <c r="J2" s="129" t="s">
        <v>77</v>
      </c>
      <c r="K2" s="129" t="s">
        <v>245</v>
      </c>
      <c r="L2" s="129" t="s">
        <v>120</v>
      </c>
      <c r="M2" s="129" t="s">
        <v>39</v>
      </c>
      <c r="N2" s="129" t="s">
        <v>40</v>
      </c>
      <c r="O2" s="129" t="s">
        <v>41</v>
      </c>
      <c r="P2" s="129" t="s">
        <v>259</v>
      </c>
      <c r="Q2" s="129" t="s">
        <v>260</v>
      </c>
      <c r="R2" s="129" t="s">
        <v>42</v>
      </c>
      <c r="S2" s="129" t="s">
        <v>228</v>
      </c>
      <c r="T2" s="129" t="s">
        <v>210</v>
      </c>
      <c r="U2" s="150" t="s">
        <v>127</v>
      </c>
      <c r="V2" s="131" t="s">
        <v>43</v>
      </c>
      <c r="W2" s="129" t="s">
        <v>96</v>
      </c>
      <c r="X2" s="132" t="s">
        <v>51</v>
      </c>
      <c r="Y2" s="130" t="s">
        <v>153</v>
      </c>
      <c r="Z2" s="129" t="s">
        <v>154</v>
      </c>
      <c r="AA2" s="129" t="s">
        <v>189</v>
      </c>
      <c r="AB2" s="129" t="s">
        <v>97</v>
      </c>
      <c r="AC2" s="129" t="s">
        <v>211</v>
      </c>
      <c r="AD2" s="129" t="s">
        <v>45</v>
      </c>
      <c r="AE2" s="129" t="s">
        <v>99</v>
      </c>
      <c r="AF2" s="129" t="s">
        <v>46</v>
      </c>
      <c r="AG2" s="129" t="s">
        <v>100</v>
      </c>
      <c r="AH2" s="129" t="s">
        <v>47</v>
      </c>
      <c r="AI2" s="129" t="s">
        <v>48</v>
      </c>
      <c r="AJ2" s="129" t="s">
        <v>32</v>
      </c>
      <c r="AK2" s="129" t="s">
        <v>49</v>
      </c>
      <c r="AL2" s="129" t="s">
        <v>50</v>
      </c>
      <c r="AM2" s="129" t="s">
        <v>339</v>
      </c>
      <c r="AN2" s="129" t="s">
        <v>36</v>
      </c>
      <c r="AO2" s="129" t="s">
        <v>89</v>
      </c>
      <c r="AP2" s="129" t="s">
        <v>90</v>
      </c>
      <c r="AQ2" s="129" t="s">
        <v>181</v>
      </c>
      <c r="AR2" s="133" t="s">
        <v>182</v>
      </c>
      <c r="AS2" s="100"/>
      <c r="AW2" s="95" t="s">
        <v>167</v>
      </c>
    </row>
    <row r="3" spans="1:84" s="6" customFormat="1" ht="43.2" x14ac:dyDescent="0.3">
      <c r="A3" s="20"/>
      <c r="B3" s="87">
        <v>1</v>
      </c>
      <c r="C3" s="110" t="s">
        <v>202</v>
      </c>
      <c r="D3" s="111">
        <v>2000</v>
      </c>
      <c r="E3" s="111" t="s">
        <v>0</v>
      </c>
      <c r="F3" s="111" t="s">
        <v>135</v>
      </c>
      <c r="G3" s="111" t="s">
        <v>1</v>
      </c>
      <c r="H3" s="111" t="s">
        <v>110</v>
      </c>
      <c r="I3" s="111">
        <v>350</v>
      </c>
      <c r="J3" s="111">
        <v>1.3</v>
      </c>
      <c r="K3" s="111"/>
      <c r="L3" s="111">
        <v>2.5</v>
      </c>
      <c r="M3" s="111">
        <v>5</v>
      </c>
      <c r="N3" s="111" t="s">
        <v>53</v>
      </c>
      <c r="O3" s="112" t="s">
        <v>106</v>
      </c>
      <c r="P3" s="113" t="s">
        <v>87</v>
      </c>
      <c r="Q3" s="113" t="s">
        <v>87</v>
      </c>
      <c r="R3" s="113" t="s">
        <v>87</v>
      </c>
      <c r="S3" s="113" t="s">
        <v>87</v>
      </c>
      <c r="T3" s="113" t="s">
        <v>87</v>
      </c>
      <c r="U3" s="151">
        <v>0.03</v>
      </c>
      <c r="V3" s="114">
        <f>0.00025/(30000*0.000000000001)</f>
        <v>8333.3333333333339</v>
      </c>
      <c r="W3" s="111">
        <f>252*93</f>
        <v>23436</v>
      </c>
      <c r="X3" s="111">
        <v>112</v>
      </c>
      <c r="Y3" s="115">
        <f>W3/(X3*0.35^2)</f>
        <v>1708.1632653061226</v>
      </c>
      <c r="Z3" s="111">
        <f>2060*1820/(112*132*0.35^2)</f>
        <v>2070.1917130488564</v>
      </c>
      <c r="AA3" s="113" t="s">
        <v>87</v>
      </c>
      <c r="AB3" s="113" t="s">
        <v>87</v>
      </c>
      <c r="AC3" s="113" t="s">
        <v>87</v>
      </c>
      <c r="AD3" s="111">
        <f>55/112</f>
        <v>0.49107142857142855</v>
      </c>
      <c r="AE3" s="111" t="s">
        <v>87</v>
      </c>
      <c r="AF3" s="112">
        <f>1.5/112</f>
        <v>1.3392857142857142E-2</v>
      </c>
      <c r="AG3" s="112" t="s">
        <v>87</v>
      </c>
      <c r="AH3" s="112">
        <f>AD3/AF3</f>
        <v>36.666666666666664</v>
      </c>
      <c r="AI3" s="112" t="s">
        <v>87</v>
      </c>
      <c r="AJ3" s="111" t="s">
        <v>87</v>
      </c>
      <c r="AK3" s="111" t="s">
        <v>87</v>
      </c>
      <c r="AL3" s="111" t="s">
        <v>87</v>
      </c>
      <c r="AM3" s="111" t="s">
        <v>340</v>
      </c>
      <c r="AN3" s="111">
        <v>132</v>
      </c>
      <c r="AO3" s="111" t="s">
        <v>91</v>
      </c>
      <c r="AP3" s="111" t="s">
        <v>92</v>
      </c>
      <c r="AQ3" s="111">
        <f>AH3/(M3*Y3*V3)</f>
        <v>5.1517323775388269E-7</v>
      </c>
      <c r="AR3" s="116" t="s">
        <v>87</v>
      </c>
      <c r="AS3" s="67"/>
      <c r="AT3" s="20"/>
      <c r="AU3" s="20"/>
      <c r="AV3" s="20"/>
      <c r="AW3" s="68" t="s">
        <v>287</v>
      </c>
      <c r="AX3" s="98" t="s">
        <v>288</v>
      </c>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row>
    <row r="4" spans="1:84" s="2" customFormat="1" ht="69.599999999999994" customHeight="1" x14ac:dyDescent="0.3">
      <c r="A4" s="11"/>
      <c r="B4" s="87">
        <v>2</v>
      </c>
      <c r="C4" s="119" t="s">
        <v>209</v>
      </c>
      <c r="D4" s="120">
        <v>2004</v>
      </c>
      <c r="E4" s="120" t="s">
        <v>2</v>
      </c>
      <c r="F4" s="120" t="s">
        <v>137</v>
      </c>
      <c r="G4" s="120" t="s">
        <v>3</v>
      </c>
      <c r="H4" s="120" t="s">
        <v>111</v>
      </c>
      <c r="I4" s="120">
        <v>180</v>
      </c>
      <c r="J4" s="120">
        <v>2</v>
      </c>
      <c r="K4" s="120"/>
      <c r="L4" s="120">
        <v>1.8</v>
      </c>
      <c r="M4" s="120">
        <v>4.82</v>
      </c>
      <c r="N4" s="120" t="s">
        <v>54</v>
      </c>
      <c r="O4" s="120" t="s">
        <v>136</v>
      </c>
      <c r="P4" s="120">
        <f>(3.74-2)/(1.8-1.76)*0.1</f>
        <v>4.349999999999997</v>
      </c>
      <c r="Q4" s="120">
        <f>(4.8-2)/(67-40)*10</f>
        <v>1.037037037037037</v>
      </c>
      <c r="R4" s="121" t="s">
        <v>87</v>
      </c>
      <c r="S4" s="121">
        <f>M4</f>
        <v>4.82</v>
      </c>
      <c r="T4" s="121" t="s">
        <v>87</v>
      </c>
      <c r="U4" s="152">
        <f>64/0.05</f>
        <v>1280</v>
      </c>
      <c r="V4" s="122" t="s">
        <v>87</v>
      </c>
      <c r="W4" s="120">
        <f>1212*1212</f>
        <v>1468944</v>
      </c>
      <c r="X4" s="120">
        <f>8*8</f>
        <v>64</v>
      </c>
      <c r="Y4" s="123">
        <f>W4/(X4*0.18^2)</f>
        <v>708402.77777777787</v>
      </c>
      <c r="Z4" s="123">
        <f>Y4</f>
        <v>708402.77777777787</v>
      </c>
      <c r="AA4" s="121" t="s">
        <v>87</v>
      </c>
      <c r="AB4" s="121" t="s">
        <v>87</v>
      </c>
      <c r="AC4" s="121" t="s">
        <v>87</v>
      </c>
      <c r="AD4" s="120">
        <v>0.4</v>
      </c>
      <c r="AE4" s="121" t="s">
        <v>87</v>
      </c>
      <c r="AF4" s="121">
        <v>0.02</v>
      </c>
      <c r="AG4" s="121" t="s">
        <v>87</v>
      </c>
      <c r="AH4" s="124">
        <f>AD4/AF4</f>
        <v>20</v>
      </c>
      <c r="AI4" s="121" t="s">
        <v>87</v>
      </c>
      <c r="AJ4" s="121" t="s">
        <v>87</v>
      </c>
      <c r="AK4" s="121" t="s">
        <v>87</v>
      </c>
      <c r="AL4" s="121" t="s">
        <v>87</v>
      </c>
      <c r="AM4" s="121" t="s">
        <v>341</v>
      </c>
      <c r="AN4" s="148">
        <v>1.4E+20</v>
      </c>
      <c r="AO4" s="120" t="s">
        <v>91</v>
      </c>
      <c r="AP4" s="120" t="s">
        <v>92</v>
      </c>
      <c r="AQ4" s="120" t="s">
        <v>87</v>
      </c>
      <c r="AR4" s="125" t="s">
        <v>87</v>
      </c>
      <c r="AS4" s="76"/>
      <c r="AT4" s="11"/>
      <c r="AU4" s="11"/>
      <c r="AV4" s="11"/>
      <c r="AW4" s="68" t="s">
        <v>18</v>
      </c>
      <c r="AX4" s="98" t="s">
        <v>174</v>
      </c>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row>
    <row r="5" spans="1:84" s="7" customFormat="1" ht="72" x14ac:dyDescent="0.3">
      <c r="A5" s="20"/>
      <c r="B5" s="87">
        <v>3</v>
      </c>
      <c r="C5" s="13" t="s">
        <v>8</v>
      </c>
      <c r="D5" s="68">
        <v>2005</v>
      </c>
      <c r="E5" s="68" t="s">
        <v>9</v>
      </c>
      <c r="F5" s="68" t="s">
        <v>137</v>
      </c>
      <c r="G5" s="68" t="s">
        <v>3</v>
      </c>
      <c r="H5" s="68" t="s">
        <v>111</v>
      </c>
      <c r="I5" s="68">
        <v>180</v>
      </c>
      <c r="J5" s="68">
        <v>4.82</v>
      </c>
      <c r="K5" s="68"/>
      <c r="L5" s="68">
        <v>1.8</v>
      </c>
      <c r="M5" s="68">
        <v>4.82</v>
      </c>
      <c r="N5" s="68" t="s">
        <v>54</v>
      </c>
      <c r="O5" s="68" t="s">
        <v>55</v>
      </c>
      <c r="P5" s="68">
        <f>(3.74-2)/(1.8-1.76)*0.1</f>
        <v>4.349999999999997</v>
      </c>
      <c r="Q5" s="68">
        <f>(4.8-2)/(67-40)*10</f>
        <v>1.037037037037037</v>
      </c>
      <c r="R5" s="23" t="s">
        <v>87</v>
      </c>
      <c r="S5" s="68">
        <f>M5</f>
        <v>4.82</v>
      </c>
      <c r="T5" s="23" t="s">
        <v>87</v>
      </c>
      <c r="U5" s="153">
        <f>U4</f>
        <v>1280</v>
      </c>
      <c r="V5" s="102">
        <f>0.000137/(100000000*0.000000000001*8)</f>
        <v>0.17125000000000001</v>
      </c>
      <c r="W5" s="68">
        <f>1212*1212</f>
        <v>1468944</v>
      </c>
      <c r="X5" s="68">
        <f>8*8</f>
        <v>64</v>
      </c>
      <c r="Y5" s="60">
        <f>W5/(X5*0.18^2)</f>
        <v>708402.77777777787</v>
      </c>
      <c r="Z5" s="60">
        <f>Y5</f>
        <v>708402.77777777787</v>
      </c>
      <c r="AA5" s="23" t="s">
        <v>87</v>
      </c>
      <c r="AB5" s="23" t="s">
        <v>87</v>
      </c>
      <c r="AC5" s="23" t="s">
        <v>87</v>
      </c>
      <c r="AD5" s="68">
        <v>0.38</v>
      </c>
      <c r="AE5" s="68">
        <v>0.03</v>
      </c>
      <c r="AF5" s="68">
        <v>0.02</v>
      </c>
      <c r="AG5" s="68" t="s">
        <v>87</v>
      </c>
      <c r="AH5" s="16">
        <f>AD5/AF5</f>
        <v>19</v>
      </c>
      <c r="AI5" s="68" t="s">
        <v>87</v>
      </c>
      <c r="AJ5" s="68" t="s">
        <v>87</v>
      </c>
      <c r="AK5" s="23" t="s">
        <v>87</v>
      </c>
      <c r="AL5" s="23" t="s">
        <v>87</v>
      </c>
      <c r="AM5" s="23" t="s">
        <v>341</v>
      </c>
      <c r="AN5" s="23">
        <f>2^(64-12)</f>
        <v>4503599627370496</v>
      </c>
      <c r="AO5" s="68" t="s">
        <v>91</v>
      </c>
      <c r="AP5" s="68" t="s">
        <v>92</v>
      </c>
      <c r="AQ5" s="68" t="s">
        <v>87</v>
      </c>
      <c r="AR5" s="88" t="s">
        <v>87</v>
      </c>
      <c r="AS5" s="67"/>
      <c r="AT5" s="20"/>
      <c r="AU5" s="20"/>
      <c r="AV5" s="20"/>
      <c r="AW5" s="68" t="s">
        <v>16</v>
      </c>
      <c r="AX5" s="96" t="s">
        <v>178</v>
      </c>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row>
    <row r="6" spans="1:84" s="6" customFormat="1" ht="60" customHeight="1" x14ac:dyDescent="0.3">
      <c r="A6" s="20"/>
      <c r="B6" s="87">
        <v>4</v>
      </c>
      <c r="C6" s="119" t="s">
        <v>203</v>
      </c>
      <c r="D6" s="120">
        <v>2007</v>
      </c>
      <c r="E6" s="120" t="s">
        <v>0</v>
      </c>
      <c r="F6" s="120" t="s">
        <v>190</v>
      </c>
      <c r="G6" s="120" t="s">
        <v>5</v>
      </c>
      <c r="H6" s="120" t="s">
        <v>112</v>
      </c>
      <c r="I6" s="120">
        <v>130</v>
      </c>
      <c r="J6" s="120">
        <v>3.04</v>
      </c>
      <c r="K6" s="120"/>
      <c r="L6" s="120">
        <v>1</v>
      </c>
      <c r="M6" s="120">
        <f>7*100/128</f>
        <v>5.46875</v>
      </c>
      <c r="N6" s="120" t="s">
        <v>56</v>
      </c>
      <c r="O6" s="120" t="s">
        <v>87</v>
      </c>
      <c r="P6" s="120">
        <f>(M6-J6)/(1.2-0.9)*0.1</f>
        <v>0.80958333333333354</v>
      </c>
      <c r="Q6" s="120" t="s">
        <v>87</v>
      </c>
      <c r="R6" s="121" t="s">
        <v>87</v>
      </c>
      <c r="S6" s="120">
        <f>M6</f>
        <v>5.46875</v>
      </c>
      <c r="T6" s="121" t="s">
        <v>87</v>
      </c>
      <c r="U6" s="152">
        <v>1</v>
      </c>
      <c r="V6" s="122">
        <v>0.93</v>
      </c>
      <c r="W6" s="126">
        <f>70*135</f>
        <v>9450</v>
      </c>
      <c r="X6" s="126">
        <f>8*16+52</f>
        <v>180</v>
      </c>
      <c r="Y6" s="123">
        <f>W6/(X6*0.13^2)</f>
        <v>3106.5088757396447</v>
      </c>
      <c r="Z6" s="126">
        <f>15288/(X6*0.13^2)</f>
        <v>5025.6410256410254</v>
      </c>
      <c r="AA6" s="121" t="s">
        <v>87</v>
      </c>
      <c r="AB6" s="121" t="s">
        <v>87</v>
      </c>
      <c r="AC6" s="121" t="s">
        <v>87</v>
      </c>
      <c r="AD6" s="120">
        <f>64.7/128</f>
        <v>0.50546875000000002</v>
      </c>
      <c r="AE6" s="120" t="s">
        <v>87</v>
      </c>
      <c r="AF6" s="120">
        <f>J6</f>
        <v>3.04</v>
      </c>
      <c r="AG6" s="120" t="s">
        <v>87</v>
      </c>
      <c r="AH6" s="124">
        <f t="shared" ref="AH6" si="0">AD6/AF6</f>
        <v>0.16627261513157895</v>
      </c>
      <c r="AI6" s="120" t="s">
        <v>87</v>
      </c>
      <c r="AJ6" s="120" t="s">
        <v>87</v>
      </c>
      <c r="AK6" s="121" t="s">
        <v>87</v>
      </c>
      <c r="AL6" s="121" t="s">
        <v>87</v>
      </c>
      <c r="AM6" s="121" t="s">
        <v>340</v>
      </c>
      <c r="AN6" s="120">
        <v>1</v>
      </c>
      <c r="AO6" s="120" t="s">
        <v>92</v>
      </c>
      <c r="AP6" s="120" t="s">
        <v>91</v>
      </c>
      <c r="AQ6" s="120">
        <f>AH6/(M6*Y6*V6)</f>
        <v>1.0523909620441272E-5</v>
      </c>
      <c r="AR6" s="125" t="s">
        <v>87</v>
      </c>
      <c r="AS6" s="67"/>
      <c r="AT6" s="20"/>
      <c r="AU6" s="20"/>
      <c r="AV6" s="20"/>
      <c r="AW6" s="68" t="s">
        <v>12</v>
      </c>
      <c r="AX6" s="98" t="s">
        <v>177</v>
      </c>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row>
    <row r="7" spans="1:84" s="6" customFormat="1" ht="60" customHeight="1" x14ac:dyDescent="0.3">
      <c r="A7" s="20"/>
      <c r="B7" s="87">
        <v>5</v>
      </c>
      <c r="C7" s="13" t="s">
        <v>261</v>
      </c>
      <c r="D7" s="68">
        <v>2008</v>
      </c>
      <c r="E7" s="68" t="s">
        <v>20</v>
      </c>
      <c r="F7" s="68" t="s">
        <v>190</v>
      </c>
      <c r="G7" s="68" t="s">
        <v>300</v>
      </c>
      <c r="H7" s="68" t="s">
        <v>112</v>
      </c>
      <c r="I7" s="68">
        <v>130</v>
      </c>
      <c r="J7" s="68">
        <v>3.04</v>
      </c>
      <c r="K7" s="68"/>
      <c r="L7" s="68">
        <v>1</v>
      </c>
      <c r="M7" s="68">
        <v>5.46875</v>
      </c>
      <c r="N7" s="68" t="s">
        <v>56</v>
      </c>
      <c r="O7" s="68" t="s">
        <v>124</v>
      </c>
      <c r="P7" s="68">
        <v>1.82</v>
      </c>
      <c r="Q7" s="68">
        <v>0.68</v>
      </c>
      <c r="R7" s="23" t="s">
        <v>87</v>
      </c>
      <c r="S7" s="68">
        <v>5.46875</v>
      </c>
      <c r="T7" s="23" t="s">
        <v>87</v>
      </c>
      <c r="U7" s="153">
        <v>1</v>
      </c>
      <c r="V7" s="102">
        <v>0.93</v>
      </c>
      <c r="W7" s="17">
        <v>9450</v>
      </c>
      <c r="X7" s="17">
        <v>180</v>
      </c>
      <c r="Y7" s="60">
        <v>1092</v>
      </c>
      <c r="Z7" s="17">
        <v>1767</v>
      </c>
      <c r="AA7" s="23" t="s">
        <v>87</v>
      </c>
      <c r="AB7" s="23" t="s">
        <v>87</v>
      </c>
      <c r="AC7" s="23" t="s">
        <v>87</v>
      </c>
      <c r="AD7" s="68">
        <v>0.50546875000000002</v>
      </c>
      <c r="AE7" s="68" t="s">
        <v>87</v>
      </c>
      <c r="AF7" s="68">
        <v>3.04</v>
      </c>
      <c r="AG7" s="68" t="s">
        <v>87</v>
      </c>
      <c r="AH7" s="16">
        <v>0.16627261513157895</v>
      </c>
      <c r="AI7" s="68" t="s">
        <v>87</v>
      </c>
      <c r="AJ7" s="68" t="s">
        <v>87</v>
      </c>
      <c r="AK7" s="23" t="s">
        <v>87</v>
      </c>
      <c r="AL7" s="23" t="s">
        <v>87</v>
      </c>
      <c r="AM7" s="23" t="s">
        <v>340</v>
      </c>
      <c r="AN7" s="68">
        <v>1</v>
      </c>
      <c r="AO7" s="68" t="s">
        <v>92</v>
      </c>
      <c r="AP7" s="68" t="s">
        <v>91</v>
      </c>
      <c r="AQ7" s="68">
        <v>2.9938295460973125E-5</v>
      </c>
      <c r="AR7" s="88" t="s">
        <v>87</v>
      </c>
      <c r="AS7" s="67"/>
      <c r="AT7" s="20"/>
      <c r="AU7" s="20"/>
      <c r="AV7" s="20"/>
      <c r="AW7" s="68" t="s">
        <v>7</v>
      </c>
      <c r="AX7" s="66" t="s">
        <v>176</v>
      </c>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row>
    <row r="8" spans="1:84" s="6" customFormat="1" ht="60" customHeight="1" x14ac:dyDescent="0.3">
      <c r="A8" s="20"/>
      <c r="B8" s="87">
        <v>6</v>
      </c>
      <c r="C8" s="13" t="s">
        <v>261</v>
      </c>
      <c r="D8" s="68">
        <v>2008</v>
      </c>
      <c r="E8" s="68" t="s">
        <v>20</v>
      </c>
      <c r="F8" s="68" t="s">
        <v>190</v>
      </c>
      <c r="G8" s="68" t="s">
        <v>301</v>
      </c>
      <c r="H8" s="68" t="s">
        <v>112</v>
      </c>
      <c r="I8" s="68">
        <v>130</v>
      </c>
      <c r="J8" s="68">
        <v>3.78</v>
      </c>
      <c r="K8" s="68"/>
      <c r="L8" s="68">
        <v>1</v>
      </c>
      <c r="M8" s="68">
        <v>5.46875</v>
      </c>
      <c r="N8" s="68" t="s">
        <v>56</v>
      </c>
      <c r="O8" s="68" t="s">
        <v>124</v>
      </c>
      <c r="P8" s="68">
        <v>1.82</v>
      </c>
      <c r="Q8" s="68">
        <v>0.63500000000000001</v>
      </c>
      <c r="R8" s="23" t="s">
        <v>87</v>
      </c>
      <c r="S8" s="68">
        <v>5.46875</v>
      </c>
      <c r="T8" s="23" t="s">
        <v>87</v>
      </c>
      <c r="U8" s="153">
        <v>1</v>
      </c>
      <c r="V8" s="102">
        <v>0.93</v>
      </c>
      <c r="W8" s="17">
        <v>9450</v>
      </c>
      <c r="X8" s="17">
        <v>180</v>
      </c>
      <c r="Y8" s="60">
        <v>1092</v>
      </c>
      <c r="Z8" s="17">
        <v>1767</v>
      </c>
      <c r="AA8" s="23" t="s">
        <v>87</v>
      </c>
      <c r="AB8" s="23" t="s">
        <v>87</v>
      </c>
      <c r="AC8" s="23" t="s">
        <v>87</v>
      </c>
      <c r="AD8" s="68">
        <v>0.501</v>
      </c>
      <c r="AE8" s="68" t="s">
        <v>87</v>
      </c>
      <c r="AF8" s="68">
        <v>3.04</v>
      </c>
      <c r="AG8" s="68" t="s">
        <v>87</v>
      </c>
      <c r="AH8" s="16">
        <v>0.16627261513157895</v>
      </c>
      <c r="AI8" s="68" t="s">
        <v>87</v>
      </c>
      <c r="AJ8" s="68" t="s">
        <v>87</v>
      </c>
      <c r="AK8" s="23" t="s">
        <v>87</v>
      </c>
      <c r="AL8" s="23" t="s">
        <v>87</v>
      </c>
      <c r="AM8" s="23" t="s">
        <v>340</v>
      </c>
      <c r="AN8" s="68">
        <v>1</v>
      </c>
      <c r="AO8" s="68" t="s">
        <v>92</v>
      </c>
      <c r="AP8" s="68" t="s">
        <v>91</v>
      </c>
      <c r="AQ8" s="68">
        <v>2.9938295460973125E-5</v>
      </c>
      <c r="AR8" s="88" t="s">
        <v>87</v>
      </c>
      <c r="AS8" s="67"/>
      <c r="AT8" s="20"/>
      <c r="AU8" s="20"/>
      <c r="AV8" s="20"/>
      <c r="AW8" s="68" t="s">
        <v>7</v>
      </c>
      <c r="AX8" s="66" t="s">
        <v>176</v>
      </c>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row>
    <row r="9" spans="1:84" s="5" customFormat="1" ht="72" x14ac:dyDescent="0.3">
      <c r="A9" s="11"/>
      <c r="B9" s="87">
        <v>7</v>
      </c>
      <c r="C9" s="13" t="s">
        <v>11</v>
      </c>
      <c r="D9" s="68">
        <v>2008</v>
      </c>
      <c r="E9" s="68" t="s">
        <v>12</v>
      </c>
      <c r="F9" s="68" t="s">
        <v>191</v>
      </c>
      <c r="G9" s="68" t="s">
        <v>13</v>
      </c>
      <c r="H9" s="68" t="s">
        <v>110</v>
      </c>
      <c r="I9" s="68">
        <v>90</v>
      </c>
      <c r="J9" s="68">
        <v>5.5E-2</v>
      </c>
      <c r="K9" s="68"/>
      <c r="L9" s="68">
        <v>0.6</v>
      </c>
      <c r="M9" s="68">
        <v>0.4</v>
      </c>
      <c r="N9" s="21">
        <v>0.1</v>
      </c>
      <c r="O9" s="68">
        <v>125</v>
      </c>
      <c r="P9" s="68" t="s">
        <v>87</v>
      </c>
      <c r="Q9" s="68" t="s">
        <v>87</v>
      </c>
      <c r="R9" s="23" t="s">
        <v>87</v>
      </c>
      <c r="S9" s="68" t="s">
        <v>229</v>
      </c>
      <c r="T9" s="68" t="s">
        <v>87</v>
      </c>
      <c r="U9" s="153" t="s">
        <v>52</v>
      </c>
      <c r="V9" s="102">
        <f>0.00003*1000000000000/(768000)</f>
        <v>39.0625</v>
      </c>
      <c r="W9" s="68">
        <f>18000</f>
        <v>18000</v>
      </c>
      <c r="X9" s="68">
        <f>256*2</f>
        <v>512</v>
      </c>
      <c r="Y9" s="60">
        <f>W9/(X9*0.09^2)</f>
        <v>4340.2777777777783</v>
      </c>
      <c r="Z9" s="17">
        <f>Y9</f>
        <v>4340.2777777777783</v>
      </c>
      <c r="AA9" s="23" t="s">
        <v>87</v>
      </c>
      <c r="AB9" s="23" t="s">
        <v>87</v>
      </c>
      <c r="AC9" s="23" t="s">
        <v>87</v>
      </c>
      <c r="AD9" s="68" t="s">
        <v>87</v>
      </c>
      <c r="AE9" s="68" t="s">
        <v>87</v>
      </c>
      <c r="AF9" s="68">
        <f>M9</f>
        <v>0.4</v>
      </c>
      <c r="AG9" s="68" t="s">
        <v>87</v>
      </c>
      <c r="AH9" s="68" t="s">
        <v>87</v>
      </c>
      <c r="AI9" s="68" t="s">
        <v>87</v>
      </c>
      <c r="AJ9" s="68" t="s">
        <v>87</v>
      </c>
      <c r="AK9" s="68" t="s">
        <v>87</v>
      </c>
      <c r="AL9" s="68" t="s">
        <v>87</v>
      </c>
      <c r="AM9" s="68" t="s">
        <v>340</v>
      </c>
      <c r="AN9" s="68">
        <v>256</v>
      </c>
      <c r="AO9" s="68" t="s">
        <v>91</v>
      </c>
      <c r="AP9" s="68" t="s">
        <v>91</v>
      </c>
      <c r="AQ9" s="68" t="s">
        <v>87</v>
      </c>
      <c r="AR9" s="88" t="s">
        <v>87</v>
      </c>
      <c r="AS9" s="67"/>
      <c r="AT9" s="11"/>
      <c r="AU9" s="11"/>
      <c r="AV9" s="11"/>
      <c r="AW9" s="68" t="s">
        <v>215</v>
      </c>
      <c r="AX9" s="66" t="s">
        <v>218</v>
      </c>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row>
    <row r="10" spans="1:84" s="9" customFormat="1" ht="57.6" x14ac:dyDescent="0.3">
      <c r="A10" s="10"/>
      <c r="B10" s="87">
        <v>8</v>
      </c>
      <c r="C10" s="119" t="s">
        <v>208</v>
      </c>
      <c r="D10" s="120">
        <v>2009</v>
      </c>
      <c r="E10" s="120" t="s">
        <v>2</v>
      </c>
      <c r="F10" s="120" t="s">
        <v>191</v>
      </c>
      <c r="G10" s="120" t="s">
        <v>13</v>
      </c>
      <c r="H10" s="120" t="s">
        <v>110</v>
      </c>
      <c r="I10" s="120">
        <v>90</v>
      </c>
      <c r="J10" s="120">
        <v>8.9999999999999993E-3</v>
      </c>
      <c r="K10" s="120"/>
      <c r="L10" s="120">
        <v>0.6</v>
      </c>
      <c r="M10" s="120">
        <v>0.1</v>
      </c>
      <c r="N10" s="127">
        <v>0.1</v>
      </c>
      <c r="O10" s="120">
        <v>125</v>
      </c>
      <c r="P10" s="120" t="s">
        <v>87</v>
      </c>
      <c r="Q10" s="120" t="s">
        <v>87</v>
      </c>
      <c r="R10" s="121" t="s">
        <v>87</v>
      </c>
      <c r="S10" s="120" t="s">
        <v>230</v>
      </c>
      <c r="T10" s="120" t="s">
        <v>87</v>
      </c>
      <c r="U10" s="152">
        <v>6.25E-2</v>
      </c>
      <c r="V10" s="122">
        <f>0.000038*1000000000000/(768000)</f>
        <v>49.479166666666664</v>
      </c>
      <c r="W10" s="120">
        <f>226*155</f>
        <v>35030</v>
      </c>
      <c r="X10" s="120">
        <f>256*16</f>
        <v>4096</v>
      </c>
      <c r="Y10" s="123">
        <f>W10/(X10*0.09^2)</f>
        <v>1055.8328510802469</v>
      </c>
      <c r="Z10" s="123">
        <f>Y10</f>
        <v>1055.8328510802469</v>
      </c>
      <c r="AA10" s="121" t="s">
        <v>87</v>
      </c>
      <c r="AB10" s="121" t="s">
        <v>87</v>
      </c>
      <c r="AC10" s="121" t="s">
        <v>87</v>
      </c>
      <c r="AD10" s="120" t="s">
        <v>87</v>
      </c>
      <c r="AE10" s="120" t="s">
        <v>87</v>
      </c>
      <c r="AF10" s="120">
        <v>0.1</v>
      </c>
      <c r="AG10" s="120" t="s">
        <v>87</v>
      </c>
      <c r="AH10" s="120" t="s">
        <v>87</v>
      </c>
      <c r="AI10" s="120" t="s">
        <v>87</v>
      </c>
      <c r="AJ10" s="120" t="s">
        <v>87</v>
      </c>
      <c r="AK10" s="120" t="s">
        <v>87</v>
      </c>
      <c r="AL10" s="120" t="s">
        <v>87</v>
      </c>
      <c r="AM10" s="120" t="s">
        <v>340</v>
      </c>
      <c r="AN10" s="120">
        <v>256</v>
      </c>
      <c r="AO10" s="120" t="s">
        <v>91</v>
      </c>
      <c r="AP10" s="120" t="s">
        <v>91</v>
      </c>
      <c r="AQ10" s="120" t="s">
        <v>87</v>
      </c>
      <c r="AR10" s="125" t="s">
        <v>87</v>
      </c>
      <c r="AS10" s="67"/>
      <c r="AT10" s="10"/>
      <c r="AU10" s="10"/>
      <c r="AV10" s="10"/>
      <c r="AW10" s="68" t="s">
        <v>324</v>
      </c>
      <c r="AX10" s="66" t="s">
        <v>325</v>
      </c>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row>
    <row r="11" spans="1:84" ht="57.6" x14ac:dyDescent="0.3">
      <c r="B11" s="87">
        <v>9</v>
      </c>
      <c r="C11" s="13" t="s">
        <v>207</v>
      </c>
      <c r="D11" s="68">
        <v>2010</v>
      </c>
      <c r="E11" s="68" t="s">
        <v>2</v>
      </c>
      <c r="F11" s="68" t="s">
        <v>192</v>
      </c>
      <c r="G11" s="68" t="s">
        <v>14</v>
      </c>
      <c r="H11" s="68" t="s">
        <v>110</v>
      </c>
      <c r="I11" s="68">
        <v>65</v>
      </c>
      <c r="J11" s="68">
        <v>0</v>
      </c>
      <c r="K11" s="68"/>
      <c r="L11" s="68">
        <v>1.1000000000000001</v>
      </c>
      <c r="M11" s="68">
        <v>0</v>
      </c>
      <c r="N11" s="68" t="s">
        <v>57</v>
      </c>
      <c r="O11" s="68" t="s">
        <v>58</v>
      </c>
      <c r="P11" s="68">
        <f>(15/128)/0.2</f>
        <v>0.5859375</v>
      </c>
      <c r="Q11" s="68" t="s">
        <v>87</v>
      </c>
      <c r="R11" s="23" t="s">
        <v>87</v>
      </c>
      <c r="S11" s="68" t="s">
        <v>87</v>
      </c>
      <c r="T11" s="68" t="s">
        <v>87</v>
      </c>
      <c r="U11" s="153">
        <f>625*8</f>
        <v>5000</v>
      </c>
      <c r="V11" s="102">
        <v>0.34</v>
      </c>
      <c r="W11" s="68">
        <f>24*16</f>
        <v>384</v>
      </c>
      <c r="X11" s="68">
        <v>128</v>
      </c>
      <c r="Y11" s="60">
        <f>W11/(X11*0.065^2)</f>
        <v>710.05917159763305</v>
      </c>
      <c r="Z11" s="60">
        <f>1242/(128*0.065^2)</f>
        <v>2296.5976331360944</v>
      </c>
      <c r="AA11" s="23" t="s">
        <v>87</v>
      </c>
      <c r="AB11" s="23" t="s">
        <v>87</v>
      </c>
      <c r="AC11" s="23" t="s">
        <v>87</v>
      </c>
      <c r="AD11" s="68">
        <f>61.79/128</f>
        <v>0.48273437499999999</v>
      </c>
      <c r="AE11" s="68">
        <f>63.92/128</f>
        <v>0.49937500000000001</v>
      </c>
      <c r="AF11" s="68">
        <v>0</v>
      </c>
      <c r="AG11" s="68" t="s">
        <v>87</v>
      </c>
      <c r="AH11" s="16" t="s">
        <v>87</v>
      </c>
      <c r="AI11" s="68" t="s">
        <v>87</v>
      </c>
      <c r="AJ11" s="68" t="s">
        <v>87</v>
      </c>
      <c r="AK11" s="68" t="s">
        <v>87</v>
      </c>
      <c r="AL11" s="68" t="s">
        <v>87</v>
      </c>
      <c r="AM11" s="68" t="s">
        <v>340</v>
      </c>
      <c r="AN11" s="68">
        <v>1</v>
      </c>
      <c r="AO11" s="68" t="s">
        <v>92</v>
      </c>
      <c r="AP11" s="68" t="s">
        <v>91</v>
      </c>
      <c r="AQ11" s="68" t="s">
        <v>87</v>
      </c>
      <c r="AR11" s="88" t="s">
        <v>87</v>
      </c>
      <c r="AS11" s="67"/>
      <c r="AT11" s="11"/>
      <c r="AU11" s="11"/>
      <c r="AV11" s="11"/>
      <c r="AW11" s="68" t="s">
        <v>0</v>
      </c>
      <c r="AX11" s="66" t="s">
        <v>172</v>
      </c>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row>
    <row r="12" spans="1:84" ht="57.6" x14ac:dyDescent="0.3">
      <c r="B12" s="87">
        <v>10</v>
      </c>
      <c r="C12" s="119" t="s">
        <v>17</v>
      </c>
      <c r="D12" s="120">
        <v>2011</v>
      </c>
      <c r="E12" s="120" t="s">
        <v>18</v>
      </c>
      <c r="F12" s="120" t="s">
        <v>115</v>
      </c>
      <c r="G12" s="120" t="s">
        <v>4</v>
      </c>
      <c r="H12" s="120" t="s">
        <v>112</v>
      </c>
      <c r="I12" s="120">
        <v>90</v>
      </c>
      <c r="J12" s="120">
        <f>49*100/1000</f>
        <v>4.9000000000000004</v>
      </c>
      <c r="K12" s="120"/>
      <c r="L12" s="120" t="s">
        <v>87</v>
      </c>
      <c r="M12" s="120" t="s">
        <v>87</v>
      </c>
      <c r="N12" s="120" t="s">
        <v>87</v>
      </c>
      <c r="O12" s="120" t="s">
        <v>87</v>
      </c>
      <c r="P12" s="120" t="s">
        <v>87</v>
      </c>
      <c r="Q12" s="120" t="s">
        <v>87</v>
      </c>
      <c r="R12" s="121" t="s">
        <v>87</v>
      </c>
      <c r="S12" s="120" t="s">
        <v>87</v>
      </c>
      <c r="T12" s="120" t="s">
        <v>87</v>
      </c>
      <c r="U12" s="152" t="s">
        <v>87</v>
      </c>
      <c r="V12" s="122" t="s">
        <v>87</v>
      </c>
      <c r="W12" s="120" t="s">
        <v>87</v>
      </c>
      <c r="X12" s="120">
        <f>2^15</f>
        <v>32768</v>
      </c>
      <c r="Y12" s="123" t="s">
        <v>87</v>
      </c>
      <c r="Z12" s="120" t="s">
        <v>87</v>
      </c>
      <c r="AA12" s="120" t="s">
        <v>87</v>
      </c>
      <c r="AB12" s="120" t="s">
        <v>87</v>
      </c>
      <c r="AC12" s="120" t="s">
        <v>87</v>
      </c>
      <c r="AD12" s="120">
        <f>26.64/64</f>
        <v>0.41625000000000001</v>
      </c>
      <c r="AE12" s="120" t="s">
        <v>87</v>
      </c>
      <c r="AF12" s="120">
        <f>4/64</f>
        <v>6.25E-2</v>
      </c>
      <c r="AG12" s="120" t="s">
        <v>87</v>
      </c>
      <c r="AH12" s="120">
        <f>AD12/AF12</f>
        <v>6.66</v>
      </c>
      <c r="AI12" s="120" t="s">
        <v>87</v>
      </c>
      <c r="AJ12" s="120" t="s">
        <v>87</v>
      </c>
      <c r="AK12" s="120" t="s">
        <v>87</v>
      </c>
      <c r="AL12" s="120" t="s">
        <v>87</v>
      </c>
      <c r="AM12" s="120" t="s">
        <v>340</v>
      </c>
      <c r="AN12" s="120">
        <f>X12/64</f>
        <v>512</v>
      </c>
      <c r="AO12" s="120" t="s">
        <v>92</v>
      </c>
      <c r="AP12" s="120" t="s">
        <v>91</v>
      </c>
      <c r="AQ12" s="120" t="s">
        <v>87</v>
      </c>
      <c r="AR12" s="125" t="s">
        <v>87</v>
      </c>
      <c r="AW12" s="68" t="s">
        <v>20</v>
      </c>
      <c r="AX12" s="97" t="s">
        <v>179</v>
      </c>
    </row>
    <row r="13" spans="1:84" s="9" customFormat="1" ht="72" x14ac:dyDescent="0.3">
      <c r="A13" s="10"/>
      <c r="B13" s="87">
        <v>11</v>
      </c>
      <c r="C13" s="119" t="s">
        <v>266</v>
      </c>
      <c r="D13" s="120">
        <v>2011</v>
      </c>
      <c r="E13" s="120" t="s">
        <v>20</v>
      </c>
      <c r="F13" s="120" t="s">
        <v>191</v>
      </c>
      <c r="G13" s="120" t="s">
        <v>13</v>
      </c>
      <c r="H13" s="120" t="s">
        <v>110</v>
      </c>
      <c r="I13" s="120">
        <v>90</v>
      </c>
      <c r="J13" s="120">
        <v>8.9999999999999993E-3</v>
      </c>
      <c r="K13" s="120"/>
      <c r="L13" s="120">
        <v>0.6</v>
      </c>
      <c r="M13" s="120">
        <v>0.1</v>
      </c>
      <c r="N13" s="127" t="s">
        <v>268</v>
      </c>
      <c r="O13" s="120" t="s">
        <v>269</v>
      </c>
      <c r="P13" s="120" t="s">
        <v>87</v>
      </c>
      <c r="Q13" s="120" t="s">
        <v>87</v>
      </c>
      <c r="R13" s="121" t="s">
        <v>87</v>
      </c>
      <c r="S13" s="120" t="s">
        <v>230</v>
      </c>
      <c r="T13" s="120" t="s">
        <v>87</v>
      </c>
      <c r="U13" s="152">
        <v>6.25E-2</v>
      </c>
      <c r="V13" s="122">
        <f>0.000038*1000000000000/(768000)</f>
        <v>49.479166666666664</v>
      </c>
      <c r="W13" s="120">
        <f>226*155</f>
        <v>35030</v>
      </c>
      <c r="X13" s="120">
        <f>256*16</f>
        <v>4096</v>
      </c>
      <c r="Y13" s="123">
        <f>W13/(X13*0.09^2)</f>
        <v>1055.8328510802469</v>
      </c>
      <c r="Z13" s="123">
        <f>Y13</f>
        <v>1055.8328510802469</v>
      </c>
      <c r="AA13" s="121" t="s">
        <v>87</v>
      </c>
      <c r="AB13" s="121" t="s">
        <v>87</v>
      </c>
      <c r="AC13" s="121" t="s">
        <v>87</v>
      </c>
      <c r="AD13" s="120" t="s">
        <v>87</v>
      </c>
      <c r="AE13" s="120" t="s">
        <v>87</v>
      </c>
      <c r="AF13" s="120">
        <v>0.1</v>
      </c>
      <c r="AG13" s="120" t="s">
        <v>87</v>
      </c>
      <c r="AH13" s="120" t="s">
        <v>87</v>
      </c>
      <c r="AI13" s="120" t="s">
        <v>87</v>
      </c>
      <c r="AJ13" s="120" t="s">
        <v>87</v>
      </c>
      <c r="AK13" s="120" t="s">
        <v>87</v>
      </c>
      <c r="AL13" s="120" t="s">
        <v>87</v>
      </c>
      <c r="AM13" s="120" t="s">
        <v>340</v>
      </c>
      <c r="AN13" s="120">
        <v>256</v>
      </c>
      <c r="AO13" s="120" t="s">
        <v>91</v>
      </c>
      <c r="AP13" s="120" t="s">
        <v>91</v>
      </c>
      <c r="AQ13" s="120" t="s">
        <v>87</v>
      </c>
      <c r="AR13" s="125" t="s">
        <v>87</v>
      </c>
      <c r="AS13" s="67"/>
      <c r="AT13" s="10"/>
      <c r="AU13" s="10"/>
      <c r="AV13" s="10"/>
      <c r="AW13" s="68" t="s">
        <v>326</v>
      </c>
      <c r="AX13" s="97" t="s">
        <v>327</v>
      </c>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row>
    <row r="14" spans="1:84" ht="86.4" x14ac:dyDescent="0.3">
      <c r="B14" s="87">
        <v>12</v>
      </c>
      <c r="C14" s="119" t="s">
        <v>222</v>
      </c>
      <c r="D14" s="120">
        <v>2011</v>
      </c>
      <c r="E14" s="120" t="s">
        <v>2</v>
      </c>
      <c r="F14" s="120" t="s">
        <v>223</v>
      </c>
      <c r="G14" s="120" t="s">
        <v>224</v>
      </c>
      <c r="H14" s="120" t="s">
        <v>128</v>
      </c>
      <c r="I14" s="120">
        <v>90</v>
      </c>
      <c r="J14" s="120">
        <v>13</v>
      </c>
      <c r="K14" s="120"/>
      <c r="L14" s="120">
        <v>1</v>
      </c>
      <c r="M14" s="120">
        <v>13</v>
      </c>
      <c r="N14" s="120" t="s">
        <v>87</v>
      </c>
      <c r="O14" s="120" t="s">
        <v>87</v>
      </c>
      <c r="P14" s="120" t="s">
        <v>87</v>
      </c>
      <c r="Q14" s="120" t="s">
        <v>87</v>
      </c>
      <c r="R14" s="121" t="s">
        <v>87</v>
      </c>
      <c r="S14" s="120">
        <v>0.1</v>
      </c>
      <c r="T14" s="120" t="s">
        <v>87</v>
      </c>
      <c r="U14" s="152">
        <f>128/737</f>
        <v>0.17367706919945725</v>
      </c>
      <c r="V14" s="122" t="s">
        <v>87</v>
      </c>
      <c r="W14" s="120">
        <v>7200</v>
      </c>
      <c r="X14" s="120">
        <v>128</v>
      </c>
      <c r="Y14" s="123"/>
      <c r="Z14" s="123">
        <f>W14/(X14*(0.014)^2)</f>
        <v>286989.79591836734</v>
      </c>
      <c r="AA14" s="120" t="s">
        <v>87</v>
      </c>
      <c r="AB14" s="120" t="s">
        <v>87</v>
      </c>
      <c r="AC14" s="120" t="s">
        <v>87</v>
      </c>
      <c r="AD14" s="120">
        <f>63.9/128</f>
        <v>0.49921874999999999</v>
      </c>
      <c r="AE14" s="120" t="s">
        <v>87</v>
      </c>
      <c r="AF14" s="120">
        <v>0.1</v>
      </c>
      <c r="AG14" s="120" t="s">
        <v>87</v>
      </c>
      <c r="AH14" s="120">
        <f t="shared" ref="AH14" si="1">AD14/AF14</f>
        <v>4.9921875</v>
      </c>
      <c r="AI14" s="120" t="s">
        <v>87</v>
      </c>
      <c r="AJ14" s="120" t="s">
        <v>87</v>
      </c>
      <c r="AK14" s="120" t="s">
        <v>87</v>
      </c>
      <c r="AL14" s="120" t="s">
        <v>87</v>
      </c>
      <c r="AM14" s="120" t="s">
        <v>340</v>
      </c>
      <c r="AN14" s="120">
        <v>1</v>
      </c>
      <c r="AO14" s="120" t="s">
        <v>91</v>
      </c>
      <c r="AP14" s="120" t="s">
        <v>91</v>
      </c>
      <c r="AQ14" s="120" t="s">
        <v>87</v>
      </c>
      <c r="AR14" s="125" t="s">
        <v>87</v>
      </c>
      <c r="AW14" s="68" t="s">
        <v>26</v>
      </c>
      <c r="AX14" s="96" t="s">
        <v>180</v>
      </c>
    </row>
    <row r="15" spans="1:84" ht="71.55" customHeight="1" x14ac:dyDescent="0.3">
      <c r="B15" s="87">
        <v>13</v>
      </c>
      <c r="C15" s="13" t="s">
        <v>29</v>
      </c>
      <c r="D15" s="68">
        <v>2012</v>
      </c>
      <c r="E15" s="68" t="s">
        <v>7</v>
      </c>
      <c r="F15" s="68" t="s">
        <v>114</v>
      </c>
      <c r="G15" s="68" t="s">
        <v>30</v>
      </c>
      <c r="H15" s="68" t="s">
        <v>112</v>
      </c>
      <c r="I15" s="68">
        <v>65</v>
      </c>
      <c r="J15" s="68">
        <v>5</v>
      </c>
      <c r="K15" s="68"/>
      <c r="L15" s="68" t="s">
        <v>87</v>
      </c>
      <c r="M15" s="68">
        <v>20</v>
      </c>
      <c r="N15" s="16" t="s">
        <v>108</v>
      </c>
      <c r="O15" s="16" t="s">
        <v>109</v>
      </c>
      <c r="P15" s="68" t="s">
        <v>87</v>
      </c>
      <c r="Q15" s="68" t="s">
        <v>87</v>
      </c>
      <c r="R15" s="23" t="s">
        <v>87</v>
      </c>
      <c r="S15" s="68" t="s">
        <v>87</v>
      </c>
      <c r="T15" s="68" t="s">
        <v>87</v>
      </c>
      <c r="U15" s="153" t="s">
        <v>87</v>
      </c>
      <c r="V15" s="102" t="s">
        <v>52</v>
      </c>
      <c r="W15" s="68" t="s">
        <v>87</v>
      </c>
      <c r="X15" s="68">
        <v>1024</v>
      </c>
      <c r="Y15" s="60" t="s">
        <v>87</v>
      </c>
      <c r="Z15" s="68" t="s">
        <v>87</v>
      </c>
      <c r="AA15" s="68" t="s">
        <v>87</v>
      </c>
      <c r="AB15" s="68" t="s">
        <v>87</v>
      </c>
      <c r="AC15" s="68" t="s">
        <v>87</v>
      </c>
      <c r="AD15" s="68">
        <v>0.49014999999999997</v>
      </c>
      <c r="AE15" s="68">
        <v>7.162E-3</v>
      </c>
      <c r="AF15" s="68">
        <v>0.1</v>
      </c>
      <c r="AG15" s="68" t="s">
        <v>87</v>
      </c>
      <c r="AH15" s="68">
        <f>AD15/AF15</f>
        <v>4.9014999999999995</v>
      </c>
      <c r="AI15" s="68" t="s">
        <v>87</v>
      </c>
      <c r="AJ15" s="68" t="s">
        <v>87</v>
      </c>
      <c r="AK15" s="68">
        <v>0.82</v>
      </c>
      <c r="AL15" s="68" t="s">
        <v>87</v>
      </c>
      <c r="AM15" s="68" t="s">
        <v>340</v>
      </c>
      <c r="AN15" s="59">
        <v>1024</v>
      </c>
      <c r="AO15" s="59" t="s">
        <v>92</v>
      </c>
      <c r="AP15" s="59" t="s">
        <v>91</v>
      </c>
      <c r="AQ15" s="68" t="s">
        <v>87</v>
      </c>
      <c r="AR15" s="89" t="s">
        <v>87</v>
      </c>
      <c r="AW15" s="68" t="s">
        <v>9</v>
      </c>
      <c r="AX15" s="98" t="s">
        <v>175</v>
      </c>
    </row>
    <row r="16" spans="1:84" ht="71.55" customHeight="1" x14ac:dyDescent="0.3">
      <c r="B16" s="87">
        <v>14</v>
      </c>
      <c r="C16" s="4" t="s">
        <v>37</v>
      </c>
      <c r="D16" s="70">
        <v>2012</v>
      </c>
      <c r="E16" s="70" t="s">
        <v>12</v>
      </c>
      <c r="F16" s="70" t="s">
        <v>134</v>
      </c>
      <c r="G16" s="70" t="s">
        <v>4</v>
      </c>
      <c r="H16" s="99" t="s">
        <v>112</v>
      </c>
      <c r="I16" s="99">
        <v>65</v>
      </c>
      <c r="J16" s="99">
        <v>6</v>
      </c>
      <c r="K16" s="99"/>
      <c r="L16" s="99">
        <v>1.2</v>
      </c>
      <c r="M16" s="99">
        <v>8</v>
      </c>
      <c r="N16" s="99">
        <v>1.2</v>
      </c>
      <c r="O16" s="19" t="s">
        <v>109</v>
      </c>
      <c r="P16" s="70" t="s">
        <v>87</v>
      </c>
      <c r="Q16" s="70" t="s">
        <v>87</v>
      </c>
      <c r="R16" s="24" t="s">
        <v>87</v>
      </c>
      <c r="S16" s="70" t="s">
        <v>87</v>
      </c>
      <c r="T16" s="70" t="s">
        <v>87</v>
      </c>
      <c r="U16" s="154" t="s">
        <v>87</v>
      </c>
      <c r="V16" s="73" t="s">
        <v>87</v>
      </c>
      <c r="W16" s="70">
        <v>213000</v>
      </c>
      <c r="X16" s="70">
        <v>262144</v>
      </c>
      <c r="Y16" s="62">
        <f>W16/(X16*0.065^2)</f>
        <v>192.31491540310648</v>
      </c>
      <c r="Z16" s="62">
        <f>Y16</f>
        <v>192.31491540310648</v>
      </c>
      <c r="AA16" s="70" t="s">
        <v>87</v>
      </c>
      <c r="AB16" s="70" t="s">
        <v>87</v>
      </c>
      <c r="AC16" s="70" t="s">
        <v>87</v>
      </c>
      <c r="AD16" s="70">
        <v>0.497</v>
      </c>
      <c r="AE16" s="70" t="s">
        <v>87</v>
      </c>
      <c r="AF16" s="70">
        <v>0.06</v>
      </c>
      <c r="AG16" s="70" t="s">
        <v>87</v>
      </c>
      <c r="AH16" s="68">
        <f t="shared" ref="AH16:AH21" si="2">AD16/AF16</f>
        <v>8.2833333333333332</v>
      </c>
      <c r="AI16" s="70" t="s">
        <v>87</v>
      </c>
      <c r="AJ16" s="70" t="s">
        <v>87</v>
      </c>
      <c r="AK16" s="70" t="s">
        <v>87</v>
      </c>
      <c r="AL16" s="70" t="s">
        <v>87</v>
      </c>
      <c r="AM16" s="70" t="s">
        <v>340</v>
      </c>
      <c r="AN16" s="59">
        <v>2048</v>
      </c>
      <c r="AO16" s="59" t="s">
        <v>92</v>
      </c>
      <c r="AP16" s="59" t="s">
        <v>91</v>
      </c>
      <c r="AQ16" s="68" t="s">
        <v>87</v>
      </c>
      <c r="AR16" s="90" t="s">
        <v>87</v>
      </c>
      <c r="AW16" s="68" t="s">
        <v>2</v>
      </c>
      <c r="AX16" s="97" t="s">
        <v>173</v>
      </c>
    </row>
    <row r="17" spans="1:50" ht="68.099999999999994" customHeight="1" x14ac:dyDescent="0.3">
      <c r="B17" s="87">
        <v>15</v>
      </c>
      <c r="C17" s="4" t="s">
        <v>37</v>
      </c>
      <c r="D17" s="70">
        <v>2012</v>
      </c>
      <c r="E17" s="70" t="s">
        <v>12</v>
      </c>
      <c r="F17" s="70" t="s">
        <v>134</v>
      </c>
      <c r="G17" s="70" t="s">
        <v>3</v>
      </c>
      <c r="H17" s="99" t="s">
        <v>111</v>
      </c>
      <c r="I17" s="99">
        <v>65</v>
      </c>
      <c r="J17" s="99">
        <v>4</v>
      </c>
      <c r="K17" s="99"/>
      <c r="L17" s="99">
        <v>1.2</v>
      </c>
      <c r="M17" s="99">
        <v>4.5</v>
      </c>
      <c r="N17" s="99">
        <v>1.2</v>
      </c>
      <c r="O17" s="19" t="s">
        <v>129</v>
      </c>
      <c r="P17" s="70" t="s">
        <v>87</v>
      </c>
      <c r="Q17" s="70" t="s">
        <v>87</v>
      </c>
      <c r="R17" s="24" t="s">
        <v>87</v>
      </c>
      <c r="S17" s="70" t="s">
        <v>87</v>
      </c>
      <c r="T17" s="70" t="s">
        <v>87</v>
      </c>
      <c r="U17" s="154" t="s">
        <v>87</v>
      </c>
      <c r="V17" s="73" t="s">
        <v>87</v>
      </c>
      <c r="W17" s="70">
        <v>279000</v>
      </c>
      <c r="X17" s="70">
        <f>254*64</f>
        <v>16256</v>
      </c>
      <c r="Y17" s="62">
        <f t="shared" ref="Y17" si="3">W17/(X17*0.065^2)</f>
        <v>4062.2233611331126</v>
      </c>
      <c r="Z17" s="62">
        <f t="shared" ref="Z17" si="4">Y17</f>
        <v>4062.2233611331126</v>
      </c>
      <c r="AA17" s="70" t="s">
        <v>87</v>
      </c>
      <c r="AB17" s="70" t="s">
        <v>87</v>
      </c>
      <c r="AC17" s="70" t="s">
        <v>87</v>
      </c>
      <c r="AD17" s="70">
        <v>0.47299999999999998</v>
      </c>
      <c r="AE17" s="70" t="s">
        <v>87</v>
      </c>
      <c r="AF17" s="70">
        <v>0.04</v>
      </c>
      <c r="AG17" s="70" t="s">
        <v>87</v>
      </c>
      <c r="AH17" s="68">
        <f t="shared" si="2"/>
        <v>11.824999999999999</v>
      </c>
      <c r="AI17" s="70" t="s">
        <v>87</v>
      </c>
      <c r="AJ17" s="70" t="s">
        <v>87</v>
      </c>
      <c r="AK17" s="70" t="s">
        <v>87</v>
      </c>
      <c r="AL17" s="70" t="s">
        <v>87</v>
      </c>
      <c r="AM17" s="70" t="s">
        <v>341</v>
      </c>
      <c r="AN17" s="147">
        <v>1.8E+19</v>
      </c>
      <c r="AO17" s="59" t="s">
        <v>91</v>
      </c>
      <c r="AP17" s="59" t="s">
        <v>92</v>
      </c>
      <c r="AQ17" s="70" t="s">
        <v>87</v>
      </c>
      <c r="AR17" s="90" t="s">
        <v>87</v>
      </c>
      <c r="AW17" s="68" t="s">
        <v>253</v>
      </c>
      <c r="AX17" s="97" t="s">
        <v>289</v>
      </c>
    </row>
    <row r="18" spans="1:50" ht="72" x14ac:dyDescent="0.3">
      <c r="B18" s="87">
        <v>16</v>
      </c>
      <c r="C18" s="4" t="s">
        <v>37</v>
      </c>
      <c r="D18" s="70">
        <v>2012</v>
      </c>
      <c r="E18" s="70" t="s">
        <v>12</v>
      </c>
      <c r="F18" s="70" t="s">
        <v>134</v>
      </c>
      <c r="G18" s="70" t="s">
        <v>5</v>
      </c>
      <c r="H18" s="99" t="s">
        <v>112</v>
      </c>
      <c r="I18" s="99">
        <v>65</v>
      </c>
      <c r="J18" s="99">
        <v>3.5</v>
      </c>
      <c r="K18" s="99"/>
      <c r="L18" s="99">
        <v>1.2</v>
      </c>
      <c r="M18" s="99">
        <v>28</v>
      </c>
      <c r="N18" s="99">
        <v>1.2</v>
      </c>
      <c r="O18" s="19" t="s">
        <v>130</v>
      </c>
      <c r="P18" s="70" t="s">
        <v>87</v>
      </c>
      <c r="Q18" s="70" t="s">
        <v>87</v>
      </c>
      <c r="R18" s="24" t="s">
        <v>87</v>
      </c>
      <c r="S18" s="70" t="s">
        <v>87</v>
      </c>
      <c r="T18" s="70" t="s">
        <v>87</v>
      </c>
      <c r="U18" s="154" t="s">
        <v>87</v>
      </c>
      <c r="V18" s="73" t="s">
        <v>87</v>
      </c>
      <c r="W18" s="70">
        <v>272000</v>
      </c>
      <c r="X18" s="70">
        <v>32768</v>
      </c>
      <c r="Y18" s="62">
        <f t="shared" ref="Y18:Y21" si="5">W18/(X18*0.065^2)</f>
        <v>1964.6819526627216</v>
      </c>
      <c r="Z18" s="62">
        <f t="shared" ref="Z18:Z21" si="6">Y18</f>
        <v>1964.6819526627216</v>
      </c>
      <c r="AA18" s="70" t="s">
        <v>87</v>
      </c>
      <c r="AB18" s="70" t="s">
        <v>87</v>
      </c>
      <c r="AC18" s="70" t="s">
        <v>87</v>
      </c>
      <c r="AD18" s="70">
        <v>0.36899999999999999</v>
      </c>
      <c r="AE18" s="70" t="s">
        <v>87</v>
      </c>
      <c r="AF18" s="70">
        <v>3.5000000000000003E-2</v>
      </c>
      <c r="AG18" s="70" t="s">
        <v>87</v>
      </c>
      <c r="AH18" s="68">
        <f t="shared" si="2"/>
        <v>10.542857142857141</v>
      </c>
      <c r="AI18" s="70" t="s">
        <v>87</v>
      </c>
      <c r="AJ18" s="70" t="s">
        <v>87</v>
      </c>
      <c r="AK18" s="70" t="s">
        <v>87</v>
      </c>
      <c r="AL18" s="70" t="s">
        <v>87</v>
      </c>
      <c r="AM18" s="70" t="s">
        <v>340</v>
      </c>
      <c r="AN18" s="59">
        <v>256</v>
      </c>
      <c r="AO18" s="59" t="s">
        <v>92</v>
      </c>
      <c r="AP18" s="59" t="s">
        <v>91</v>
      </c>
      <c r="AQ18" s="70" t="s">
        <v>87</v>
      </c>
      <c r="AR18" s="90" t="s">
        <v>87</v>
      </c>
    </row>
    <row r="19" spans="1:50" ht="72" x14ac:dyDescent="0.3">
      <c r="B19" s="87">
        <v>17</v>
      </c>
      <c r="C19" s="4" t="s">
        <v>37</v>
      </c>
      <c r="D19" s="70">
        <v>2012</v>
      </c>
      <c r="E19" s="70" t="s">
        <v>12</v>
      </c>
      <c r="F19" s="70" t="s">
        <v>134</v>
      </c>
      <c r="G19" s="70" t="s">
        <v>28</v>
      </c>
      <c r="H19" s="99" t="s">
        <v>112</v>
      </c>
      <c r="I19" s="99">
        <v>65</v>
      </c>
      <c r="J19" s="99">
        <v>10</v>
      </c>
      <c r="K19" s="99"/>
      <c r="L19" s="99">
        <v>1.2</v>
      </c>
      <c r="M19" s="99">
        <v>33</v>
      </c>
      <c r="N19" s="99">
        <v>1.2</v>
      </c>
      <c r="O19" s="19" t="s">
        <v>131</v>
      </c>
      <c r="P19" s="70" t="s">
        <v>87</v>
      </c>
      <c r="Q19" s="70" t="s">
        <v>87</v>
      </c>
      <c r="R19" s="24" t="s">
        <v>87</v>
      </c>
      <c r="S19" s="70" t="s">
        <v>87</v>
      </c>
      <c r="T19" s="70" t="s">
        <v>87</v>
      </c>
      <c r="U19" s="154" t="s">
        <v>87</v>
      </c>
      <c r="V19" s="73" t="s">
        <v>87</v>
      </c>
      <c r="W19" s="70">
        <v>392000</v>
      </c>
      <c r="X19" s="70">
        <v>32768</v>
      </c>
      <c r="Y19" s="62">
        <f t="shared" si="5"/>
        <v>2831.4534023668634</v>
      </c>
      <c r="Z19" s="62">
        <f t="shared" si="6"/>
        <v>2831.4534023668634</v>
      </c>
      <c r="AA19" s="70" t="s">
        <v>87</v>
      </c>
      <c r="AB19" s="70" t="s">
        <v>87</v>
      </c>
      <c r="AC19" s="70" t="s">
        <v>87</v>
      </c>
      <c r="AD19" s="70">
        <v>0.41799999999999998</v>
      </c>
      <c r="AE19" s="70" t="s">
        <v>87</v>
      </c>
      <c r="AF19" s="70">
        <v>0.1</v>
      </c>
      <c r="AG19" s="70" t="s">
        <v>87</v>
      </c>
      <c r="AH19" s="68">
        <f t="shared" si="2"/>
        <v>4.18</v>
      </c>
      <c r="AI19" s="70" t="s">
        <v>87</v>
      </c>
      <c r="AJ19" s="70" t="s">
        <v>87</v>
      </c>
      <c r="AK19" s="70" t="s">
        <v>87</v>
      </c>
      <c r="AL19" s="70" t="s">
        <v>87</v>
      </c>
      <c r="AM19" s="70" t="s">
        <v>340</v>
      </c>
      <c r="AN19" s="59">
        <v>256</v>
      </c>
      <c r="AO19" s="59" t="s">
        <v>92</v>
      </c>
      <c r="AP19" s="59" t="s">
        <v>91</v>
      </c>
      <c r="AQ19" s="70" t="s">
        <v>87</v>
      </c>
      <c r="AR19" s="90" t="s">
        <v>87</v>
      </c>
    </row>
    <row r="20" spans="1:50" ht="72" x14ac:dyDescent="0.3">
      <c r="B20" s="87">
        <v>18</v>
      </c>
      <c r="C20" s="4" t="s">
        <v>37</v>
      </c>
      <c r="D20" s="70">
        <v>2012</v>
      </c>
      <c r="E20" s="70" t="s">
        <v>12</v>
      </c>
      <c r="F20" s="70" t="s">
        <v>134</v>
      </c>
      <c r="G20" s="70" t="s">
        <v>30</v>
      </c>
      <c r="H20" s="99" t="s">
        <v>112</v>
      </c>
      <c r="I20" s="99">
        <v>65</v>
      </c>
      <c r="J20" s="99">
        <v>4.5</v>
      </c>
      <c r="K20" s="99"/>
      <c r="L20" s="99">
        <v>1.2</v>
      </c>
      <c r="M20" s="99">
        <v>20.5</v>
      </c>
      <c r="N20" s="99">
        <v>1.2</v>
      </c>
      <c r="O20" s="19" t="s">
        <v>132</v>
      </c>
      <c r="P20" s="70" t="s">
        <v>87</v>
      </c>
      <c r="Q20" s="70" t="s">
        <v>87</v>
      </c>
      <c r="R20" s="24" t="s">
        <v>87</v>
      </c>
      <c r="S20" s="70" t="s">
        <v>87</v>
      </c>
      <c r="T20" s="70" t="s">
        <v>87</v>
      </c>
      <c r="U20" s="154" t="s">
        <v>87</v>
      </c>
      <c r="V20" s="73" t="s">
        <v>87</v>
      </c>
      <c r="W20" s="70">
        <v>76000</v>
      </c>
      <c r="X20" s="70">
        <v>16384</v>
      </c>
      <c r="Y20" s="62">
        <f t="shared" si="5"/>
        <v>1097.9105029585799</v>
      </c>
      <c r="Z20" s="62">
        <f t="shared" si="6"/>
        <v>1097.9105029585799</v>
      </c>
      <c r="AA20" s="70" t="s">
        <v>87</v>
      </c>
      <c r="AB20" s="70" t="s">
        <v>87</v>
      </c>
      <c r="AC20" s="70" t="s">
        <v>87</v>
      </c>
      <c r="AD20" s="70">
        <v>0.49099999999999999</v>
      </c>
      <c r="AE20" s="70" t="s">
        <v>87</v>
      </c>
      <c r="AF20" s="70">
        <v>4.4999999999999998E-2</v>
      </c>
      <c r="AG20" s="70" t="s">
        <v>87</v>
      </c>
      <c r="AH20" s="68">
        <f t="shared" si="2"/>
        <v>10.911111111111111</v>
      </c>
      <c r="AI20" s="70" t="s">
        <v>87</v>
      </c>
      <c r="AJ20" s="70" t="s">
        <v>87</v>
      </c>
      <c r="AK20" s="70" t="s">
        <v>87</v>
      </c>
      <c r="AL20" s="70" t="s">
        <v>87</v>
      </c>
      <c r="AM20" s="70" t="s">
        <v>340</v>
      </c>
      <c r="AN20" s="59">
        <v>256</v>
      </c>
      <c r="AO20" s="59" t="s">
        <v>92</v>
      </c>
      <c r="AP20" s="59" t="s">
        <v>91</v>
      </c>
      <c r="AQ20" s="70" t="s">
        <v>87</v>
      </c>
      <c r="AR20" s="90" t="s">
        <v>87</v>
      </c>
    </row>
    <row r="21" spans="1:50" ht="72.45" customHeight="1" x14ac:dyDescent="0.3">
      <c r="B21" s="87">
        <v>19</v>
      </c>
      <c r="C21" s="4" t="s">
        <v>37</v>
      </c>
      <c r="D21" s="70">
        <v>2012</v>
      </c>
      <c r="E21" s="70" t="s">
        <v>12</v>
      </c>
      <c r="F21" s="70" t="s">
        <v>134</v>
      </c>
      <c r="G21" s="70" t="s">
        <v>10</v>
      </c>
      <c r="H21" s="70" t="s">
        <v>111</v>
      </c>
      <c r="I21" s="70">
        <v>65</v>
      </c>
      <c r="J21" s="70">
        <v>2.8</v>
      </c>
      <c r="K21" s="70"/>
      <c r="L21" s="70">
        <v>1.2</v>
      </c>
      <c r="M21" s="70">
        <v>3.9</v>
      </c>
      <c r="N21" s="70">
        <v>1.2</v>
      </c>
      <c r="O21" s="19" t="s">
        <v>133</v>
      </c>
      <c r="P21" s="70" t="s">
        <v>87</v>
      </c>
      <c r="Q21" s="70" t="s">
        <v>87</v>
      </c>
      <c r="R21" s="24" t="s">
        <v>87</v>
      </c>
      <c r="S21" s="70" t="s">
        <v>87</v>
      </c>
      <c r="T21" s="70" t="s">
        <v>87</v>
      </c>
      <c r="U21" s="154" t="s">
        <v>87</v>
      </c>
      <c r="V21" s="73" t="s">
        <v>87</v>
      </c>
      <c r="W21" s="70">
        <v>241000</v>
      </c>
      <c r="X21" s="70">
        <v>3840</v>
      </c>
      <c r="Y21" s="62">
        <f t="shared" si="5"/>
        <v>14854.536489151873</v>
      </c>
      <c r="Z21" s="62">
        <f t="shared" si="6"/>
        <v>14854.536489151873</v>
      </c>
      <c r="AA21" s="70" t="s">
        <v>87</v>
      </c>
      <c r="AB21" s="70" t="s">
        <v>87</v>
      </c>
      <c r="AC21" s="70" t="s">
        <v>87</v>
      </c>
      <c r="AD21" s="70">
        <v>0.495</v>
      </c>
      <c r="AE21" s="70" t="s">
        <v>87</v>
      </c>
      <c r="AF21" s="70">
        <v>2.8000000000000001E-2</v>
      </c>
      <c r="AG21" s="70" t="s">
        <v>87</v>
      </c>
      <c r="AH21" s="68">
        <f t="shared" si="2"/>
        <v>17.678571428571427</v>
      </c>
      <c r="AI21" s="70" t="s">
        <v>87</v>
      </c>
      <c r="AJ21" s="70" t="s">
        <v>87</v>
      </c>
      <c r="AK21" s="70" t="s">
        <v>87</v>
      </c>
      <c r="AL21" s="70" t="s">
        <v>87</v>
      </c>
      <c r="AM21" s="70" t="s">
        <v>340</v>
      </c>
      <c r="AN21" s="59">
        <v>256</v>
      </c>
      <c r="AO21" s="59" t="s">
        <v>91</v>
      </c>
      <c r="AP21" s="59" t="s">
        <v>92</v>
      </c>
      <c r="AQ21" s="70" t="s">
        <v>87</v>
      </c>
      <c r="AR21" s="90" t="s">
        <v>87</v>
      </c>
    </row>
    <row r="22" spans="1:50" ht="72" x14ac:dyDescent="0.3">
      <c r="B22" s="87">
        <v>20</v>
      </c>
      <c r="C22" s="14" t="s">
        <v>226</v>
      </c>
      <c r="D22" s="68">
        <v>2012</v>
      </c>
      <c r="E22" s="68" t="s">
        <v>2</v>
      </c>
      <c r="F22" s="68" t="s">
        <v>193</v>
      </c>
      <c r="G22" s="68" t="s">
        <v>227</v>
      </c>
      <c r="H22" s="68" t="s">
        <v>112</v>
      </c>
      <c r="I22" s="68">
        <v>32</v>
      </c>
      <c r="J22" s="68">
        <v>1E-3</v>
      </c>
      <c r="K22" s="68"/>
      <c r="L22" s="68" t="s">
        <v>87</v>
      </c>
      <c r="M22" s="68" t="s">
        <v>87</v>
      </c>
      <c r="N22" s="68" t="s">
        <v>87</v>
      </c>
      <c r="O22" s="68" t="s">
        <v>87</v>
      </c>
      <c r="P22" s="68" t="s">
        <v>87</v>
      </c>
      <c r="Q22" s="68" t="s">
        <v>87</v>
      </c>
      <c r="R22" s="23" t="s">
        <v>87</v>
      </c>
      <c r="S22" s="68">
        <v>1.0000000000000001E-5</v>
      </c>
      <c r="T22" s="68" t="s">
        <v>87</v>
      </c>
      <c r="U22" s="153" t="s">
        <v>87</v>
      </c>
      <c r="V22" s="102" t="s">
        <v>52</v>
      </c>
      <c r="W22" s="68">
        <v>10000</v>
      </c>
      <c r="X22" s="68">
        <f>1024*4</f>
        <v>4096</v>
      </c>
      <c r="Y22" s="60">
        <f>W22/(X22*0.032^2)</f>
        <v>2384.185791015625</v>
      </c>
      <c r="Z22" s="68" t="s">
        <v>87</v>
      </c>
      <c r="AA22" s="68" t="s">
        <v>87</v>
      </c>
      <c r="AB22" s="68" t="s">
        <v>87</v>
      </c>
      <c r="AC22" s="68" t="s">
        <v>87</v>
      </c>
      <c r="AD22" s="68">
        <v>0.57999999999999996</v>
      </c>
      <c r="AE22" s="68">
        <v>0.76</v>
      </c>
      <c r="AF22" s="68" t="s">
        <v>87</v>
      </c>
      <c r="AG22" s="68" t="s">
        <v>87</v>
      </c>
      <c r="AH22" s="68" t="s">
        <v>87</v>
      </c>
      <c r="AI22" s="68" t="s">
        <v>87</v>
      </c>
      <c r="AJ22" s="68" t="s">
        <v>87</v>
      </c>
      <c r="AK22" s="68" t="s">
        <v>87</v>
      </c>
      <c r="AL22" s="68" t="s">
        <v>87</v>
      </c>
      <c r="AM22" s="68" t="s">
        <v>340</v>
      </c>
      <c r="AN22" s="59">
        <v>38</v>
      </c>
      <c r="AO22" s="59" t="s">
        <v>91</v>
      </c>
      <c r="AP22" s="59" t="s">
        <v>91</v>
      </c>
      <c r="AQ22" s="59" t="s">
        <v>87</v>
      </c>
      <c r="AR22" s="89" t="s">
        <v>87</v>
      </c>
    </row>
    <row r="23" spans="1:50" ht="86.4" x14ac:dyDescent="0.3">
      <c r="B23" s="87">
        <v>21</v>
      </c>
      <c r="C23" s="134" t="s">
        <v>19</v>
      </c>
      <c r="D23" s="120">
        <v>2013</v>
      </c>
      <c r="E23" s="120" t="s">
        <v>20</v>
      </c>
      <c r="F23" s="120" t="s">
        <v>193</v>
      </c>
      <c r="G23" s="120" t="s">
        <v>221</v>
      </c>
      <c r="H23" s="120" t="s">
        <v>112</v>
      </c>
      <c r="I23" s="120">
        <v>32</v>
      </c>
      <c r="J23" s="120">
        <v>1E-3</v>
      </c>
      <c r="K23" s="120"/>
      <c r="L23" s="120">
        <v>0.9</v>
      </c>
      <c r="M23" s="120">
        <f>J23</f>
        <v>1E-3</v>
      </c>
      <c r="N23" s="120" t="s">
        <v>121</v>
      </c>
      <c r="O23" s="120" t="s">
        <v>231</v>
      </c>
      <c r="P23" s="120" t="s">
        <v>87</v>
      </c>
      <c r="Q23" s="120" t="s">
        <v>87</v>
      </c>
      <c r="R23" s="121" t="s">
        <v>87</v>
      </c>
      <c r="S23" s="120">
        <v>1E-4</v>
      </c>
      <c r="T23" s="120" t="s">
        <v>87</v>
      </c>
      <c r="U23" s="152" t="s">
        <v>87</v>
      </c>
      <c r="V23" s="122" t="s">
        <v>52</v>
      </c>
      <c r="W23" s="120">
        <v>3.9E-2</v>
      </c>
      <c r="X23" s="120">
        <v>4096</v>
      </c>
      <c r="Y23" s="123">
        <f>W23/(0.032^2)</f>
        <v>38.0859375</v>
      </c>
      <c r="Z23" s="120" t="s">
        <v>87</v>
      </c>
      <c r="AA23" s="120" t="s">
        <v>87</v>
      </c>
      <c r="AB23" s="120" t="s">
        <v>87</v>
      </c>
      <c r="AC23" s="120" t="s">
        <v>87</v>
      </c>
      <c r="AD23" s="120" t="s">
        <v>87</v>
      </c>
      <c r="AE23" s="120" t="s">
        <v>87</v>
      </c>
      <c r="AF23" s="120" t="s">
        <v>87</v>
      </c>
      <c r="AG23" s="120" t="s">
        <v>87</v>
      </c>
      <c r="AH23" s="120" t="s">
        <v>87</v>
      </c>
      <c r="AI23" s="120" t="s">
        <v>87</v>
      </c>
      <c r="AJ23" s="120" t="s">
        <v>87</v>
      </c>
      <c r="AK23" s="120" t="s">
        <v>87</v>
      </c>
      <c r="AL23" s="120" t="s">
        <v>87</v>
      </c>
      <c r="AM23" s="120" t="s">
        <v>340</v>
      </c>
      <c r="AN23" s="120">
        <v>1</v>
      </c>
      <c r="AO23" s="120" t="s">
        <v>91</v>
      </c>
      <c r="AP23" s="120" t="s">
        <v>91</v>
      </c>
      <c r="AQ23" s="120" t="s">
        <v>87</v>
      </c>
      <c r="AR23" s="125" t="s">
        <v>87</v>
      </c>
    </row>
    <row r="24" spans="1:50" ht="69.150000000000006" customHeight="1" x14ac:dyDescent="0.3">
      <c r="B24" s="87">
        <v>22</v>
      </c>
      <c r="C24" s="13" t="s">
        <v>21</v>
      </c>
      <c r="D24" s="68">
        <v>2014</v>
      </c>
      <c r="E24" s="68" t="s">
        <v>16</v>
      </c>
      <c r="F24" s="68" t="s">
        <v>194</v>
      </c>
      <c r="G24" s="68" t="s">
        <v>15</v>
      </c>
      <c r="H24" s="68" t="s">
        <v>110</v>
      </c>
      <c r="I24" s="68">
        <v>65</v>
      </c>
      <c r="J24" s="68">
        <v>38.4</v>
      </c>
      <c r="K24" s="68"/>
      <c r="L24" s="68">
        <v>1.2</v>
      </c>
      <c r="M24" s="68">
        <v>38.4</v>
      </c>
      <c r="N24" s="68" t="s">
        <v>122</v>
      </c>
      <c r="O24" s="16" t="s">
        <v>232</v>
      </c>
      <c r="P24" s="68" t="s">
        <v>87</v>
      </c>
      <c r="Q24" s="68" t="s">
        <v>87</v>
      </c>
      <c r="R24" s="23" t="s">
        <v>233</v>
      </c>
      <c r="S24" s="68" t="s">
        <v>87</v>
      </c>
      <c r="T24" s="16" t="s">
        <v>33</v>
      </c>
      <c r="U24" s="153">
        <f>128/1.15</f>
        <v>111.30434782608697</v>
      </c>
      <c r="V24" s="102" t="s">
        <v>52</v>
      </c>
      <c r="W24" s="68">
        <v>9700</v>
      </c>
      <c r="X24" s="68">
        <v>4096</v>
      </c>
      <c r="Y24" s="60">
        <f>W24/(X24*(I24*0.001)^2)</f>
        <v>560.5122041420118</v>
      </c>
      <c r="Z24" s="68">
        <f>(9700+2*7700/(I24*0.001)^2)/(X24*0.75)</f>
        <v>1189.6713587894476</v>
      </c>
      <c r="AA24" s="68" t="s">
        <v>234</v>
      </c>
      <c r="AB24" s="68" t="s">
        <v>87</v>
      </c>
      <c r="AC24" s="68">
        <f>0.5-0.41</f>
        <v>9.0000000000000024E-2</v>
      </c>
      <c r="AD24" s="68" t="s">
        <v>235</v>
      </c>
      <c r="AE24" s="68" t="s">
        <v>87</v>
      </c>
      <c r="AF24" s="68" t="s">
        <v>87</v>
      </c>
      <c r="AG24" s="68" t="s">
        <v>87</v>
      </c>
      <c r="AH24" s="68" t="s">
        <v>87</v>
      </c>
      <c r="AI24" s="68" t="s">
        <v>87</v>
      </c>
      <c r="AJ24" s="68" t="s">
        <v>87</v>
      </c>
      <c r="AK24" s="68" t="s">
        <v>87</v>
      </c>
      <c r="AL24" s="68" t="s">
        <v>87</v>
      </c>
      <c r="AM24" s="68" t="s">
        <v>340</v>
      </c>
      <c r="AN24" s="59">
        <v>32</v>
      </c>
      <c r="AO24" s="59" t="s">
        <v>91</v>
      </c>
      <c r="AP24" s="59" t="s">
        <v>91</v>
      </c>
      <c r="AQ24" s="59" t="s">
        <v>87</v>
      </c>
      <c r="AR24" s="89" t="s">
        <v>87</v>
      </c>
    </row>
    <row r="25" spans="1:50" s="6" customFormat="1" ht="93.6" customHeight="1" x14ac:dyDescent="0.3">
      <c r="A25" s="20"/>
      <c r="B25" s="87">
        <v>23</v>
      </c>
      <c r="C25" s="14" t="s">
        <v>304</v>
      </c>
      <c r="D25" s="68">
        <v>2014</v>
      </c>
      <c r="E25" s="68" t="s">
        <v>0</v>
      </c>
      <c r="F25" s="68" t="s">
        <v>94</v>
      </c>
      <c r="G25" s="68" t="s">
        <v>103</v>
      </c>
      <c r="H25" s="68" t="s">
        <v>128</v>
      </c>
      <c r="I25" s="68">
        <v>22</v>
      </c>
      <c r="J25" s="68">
        <v>30</v>
      </c>
      <c r="K25" s="68">
        <v>5000</v>
      </c>
      <c r="L25" s="68">
        <v>0.8</v>
      </c>
      <c r="M25" s="68">
        <v>30</v>
      </c>
      <c r="N25" s="68" t="s">
        <v>35</v>
      </c>
      <c r="O25" s="68" t="s">
        <v>302</v>
      </c>
      <c r="P25" s="68">
        <v>0.49</v>
      </c>
      <c r="Q25" s="68" t="s">
        <v>87</v>
      </c>
      <c r="R25" s="23" t="s">
        <v>236</v>
      </c>
      <c r="S25" s="68">
        <v>30</v>
      </c>
      <c r="T25" s="68">
        <v>9.7000000000000003E-3</v>
      </c>
      <c r="U25" s="153">
        <v>133.33333333333334</v>
      </c>
      <c r="V25" s="102">
        <v>0.19</v>
      </c>
      <c r="W25" s="68">
        <v>24</v>
      </c>
      <c r="X25" s="68">
        <v>50000</v>
      </c>
      <c r="Y25" s="60">
        <v>9632.2314049586785</v>
      </c>
      <c r="Z25" s="68" t="s">
        <v>87</v>
      </c>
      <c r="AA25" s="68">
        <v>0.48046875</v>
      </c>
      <c r="AB25" s="68">
        <v>3.515625E-2</v>
      </c>
      <c r="AC25" s="68">
        <v>1.953125E-2</v>
      </c>
      <c r="AD25" s="68">
        <v>0.49</v>
      </c>
      <c r="AE25" s="68">
        <v>2.2539999999999998E-2</v>
      </c>
      <c r="AF25" s="68">
        <v>2.68359375E-2</v>
      </c>
      <c r="AG25" s="68" t="s">
        <v>87</v>
      </c>
      <c r="AH25" s="68">
        <v>18.25909752547307</v>
      </c>
      <c r="AI25" s="68" t="s">
        <v>87</v>
      </c>
      <c r="AJ25" s="68" t="s">
        <v>34</v>
      </c>
      <c r="AK25" s="68">
        <v>0.99970000000000003</v>
      </c>
      <c r="AL25" s="68">
        <v>0.01</v>
      </c>
      <c r="AM25" s="68" t="s">
        <v>340</v>
      </c>
      <c r="AN25" s="59">
        <v>196</v>
      </c>
      <c r="AO25" s="59" t="s">
        <v>91</v>
      </c>
      <c r="AP25" s="59" t="s">
        <v>91</v>
      </c>
      <c r="AQ25" s="68">
        <v>3.3256576886393779E-4</v>
      </c>
      <c r="AR25" s="89" t="s">
        <v>87</v>
      </c>
      <c r="AS25" s="58"/>
      <c r="AW25"/>
      <c r="AX25"/>
    </row>
    <row r="26" spans="1:50" s="10" customFormat="1" ht="103.8" customHeight="1" x14ac:dyDescent="0.3">
      <c r="B26" s="87">
        <v>24</v>
      </c>
      <c r="C26" s="14" t="s">
        <v>22</v>
      </c>
      <c r="D26" s="68">
        <v>2014</v>
      </c>
      <c r="E26" s="68" t="s">
        <v>12</v>
      </c>
      <c r="F26" s="68" t="s">
        <v>94</v>
      </c>
      <c r="G26" s="68" t="s">
        <v>103</v>
      </c>
      <c r="H26" s="68" t="s">
        <v>128</v>
      </c>
      <c r="I26" s="68">
        <v>22</v>
      </c>
      <c r="J26" s="68">
        <v>12.5</v>
      </c>
      <c r="K26" s="68"/>
      <c r="L26" s="68">
        <v>0.8</v>
      </c>
      <c r="M26" s="68">
        <v>12.5</v>
      </c>
      <c r="N26" s="68" t="s">
        <v>35</v>
      </c>
      <c r="O26" s="68">
        <v>25</v>
      </c>
      <c r="P26" s="68" t="s">
        <v>87</v>
      </c>
      <c r="Q26" s="68" t="s">
        <v>87</v>
      </c>
      <c r="R26" s="23">
        <v>4</v>
      </c>
      <c r="S26" s="68">
        <v>12.5</v>
      </c>
      <c r="T26" s="68">
        <v>1.9400000000000001E-2</v>
      </c>
      <c r="U26" s="153">
        <f>2000/2</f>
        <v>1000</v>
      </c>
      <c r="V26" s="102">
        <v>1.2999999999999999E-2</v>
      </c>
      <c r="W26" s="68">
        <f>3900*6000</f>
        <v>23400000</v>
      </c>
      <c r="X26" s="68">
        <v>258048</v>
      </c>
      <c r="Y26" s="60">
        <f>W26/(X26*(0.04^2))</f>
        <v>56675.502232142855</v>
      </c>
      <c r="Z26" s="68">
        <f>Y26</f>
        <v>56675.502232142855</v>
      </c>
      <c r="AA26" s="68" t="s">
        <v>87</v>
      </c>
      <c r="AB26" s="68" t="s">
        <v>87</v>
      </c>
      <c r="AC26" s="68" t="s">
        <v>87</v>
      </c>
      <c r="AD26" s="68" t="s">
        <v>87</v>
      </c>
      <c r="AE26" s="68" t="s">
        <v>87</v>
      </c>
      <c r="AF26" s="68" t="s">
        <v>87</v>
      </c>
      <c r="AG26" s="68" t="s">
        <v>87</v>
      </c>
      <c r="AH26" s="68" t="s">
        <v>87</v>
      </c>
      <c r="AI26" s="68" t="s">
        <v>87</v>
      </c>
      <c r="AJ26" s="68" t="s">
        <v>87</v>
      </c>
      <c r="AK26" s="68" t="s">
        <v>87</v>
      </c>
      <c r="AL26" s="68" t="s">
        <v>87</v>
      </c>
      <c r="AM26" s="68" t="s">
        <v>340</v>
      </c>
      <c r="AN26" s="68">
        <f>X26/256</f>
        <v>1008</v>
      </c>
      <c r="AO26" s="59" t="s">
        <v>91</v>
      </c>
      <c r="AP26" s="59" t="s">
        <v>91</v>
      </c>
      <c r="AQ26" s="68" t="s">
        <v>87</v>
      </c>
      <c r="AR26" s="88" t="s">
        <v>87</v>
      </c>
      <c r="AS26" s="67"/>
      <c r="AW26"/>
      <c r="AX26"/>
    </row>
    <row r="27" spans="1:50" s="11" customFormat="1" ht="73.2" customHeight="1" x14ac:dyDescent="0.3">
      <c r="B27" s="87">
        <v>25</v>
      </c>
      <c r="C27" s="4" t="s">
        <v>225</v>
      </c>
      <c r="D27" s="70">
        <v>2014</v>
      </c>
      <c r="E27" s="70" t="s">
        <v>215</v>
      </c>
      <c r="F27" s="70" t="s">
        <v>216</v>
      </c>
      <c r="G27" s="70" t="s">
        <v>217</v>
      </c>
      <c r="H27" s="70" t="s">
        <v>110</v>
      </c>
      <c r="I27" s="70">
        <v>180</v>
      </c>
      <c r="J27" s="70" t="s">
        <v>87</v>
      </c>
      <c r="K27" s="70"/>
      <c r="L27" s="70">
        <v>1.8</v>
      </c>
      <c r="M27" s="70" t="s">
        <v>87</v>
      </c>
      <c r="N27" s="70" t="s">
        <v>219</v>
      </c>
      <c r="O27" s="70" t="s">
        <v>220</v>
      </c>
      <c r="P27" s="70" t="s">
        <v>87</v>
      </c>
      <c r="Q27" s="70" t="s">
        <v>87</v>
      </c>
      <c r="R27" s="24">
        <v>6</v>
      </c>
      <c r="S27" s="70"/>
      <c r="T27" s="70">
        <v>0</v>
      </c>
      <c r="U27" s="154">
        <v>1</v>
      </c>
      <c r="V27" s="73" t="s">
        <v>87</v>
      </c>
      <c r="W27" s="70">
        <v>105650</v>
      </c>
      <c r="X27" s="70">
        <v>128</v>
      </c>
      <c r="Y27" s="62">
        <f>W27/(X27*4*(0.014)^2)</f>
        <v>1052794.1645408163</v>
      </c>
      <c r="Z27" s="62">
        <f>Y27*4</f>
        <v>4211176.6581632653</v>
      </c>
      <c r="AA27" s="70" t="s">
        <v>87</v>
      </c>
      <c r="AB27" s="70" t="s">
        <v>87</v>
      </c>
      <c r="AC27" s="70" t="s">
        <v>87</v>
      </c>
      <c r="AD27" s="70" t="s">
        <v>87</v>
      </c>
      <c r="AE27" s="70" t="s">
        <v>87</v>
      </c>
      <c r="AF27" s="70">
        <f>63.73/128</f>
        <v>0.49789062499999998</v>
      </c>
      <c r="AG27" s="70" t="s">
        <v>87</v>
      </c>
      <c r="AH27" s="70" t="s">
        <v>87</v>
      </c>
      <c r="AI27" s="70" t="s">
        <v>87</v>
      </c>
      <c r="AJ27" s="70" t="s">
        <v>87</v>
      </c>
      <c r="AK27" s="70" t="s">
        <v>87</v>
      </c>
      <c r="AL27" s="70" t="s">
        <v>87</v>
      </c>
      <c r="AM27" s="70" t="s">
        <v>340</v>
      </c>
      <c r="AN27" s="59">
        <v>1</v>
      </c>
      <c r="AO27" s="59" t="s">
        <v>91</v>
      </c>
      <c r="AP27" s="59" t="s">
        <v>91</v>
      </c>
      <c r="AQ27" s="59" t="s">
        <v>87</v>
      </c>
      <c r="AR27" s="89" t="s">
        <v>87</v>
      </c>
      <c r="AS27" s="58"/>
      <c r="AW27"/>
      <c r="AX27"/>
    </row>
    <row r="28" spans="1:50" s="6" customFormat="1" ht="97.8" customHeight="1" x14ac:dyDescent="0.3">
      <c r="A28" s="20"/>
      <c r="B28" s="87">
        <v>26</v>
      </c>
      <c r="C28" s="134" t="s">
        <v>271</v>
      </c>
      <c r="D28" s="120">
        <v>2015</v>
      </c>
      <c r="E28" s="120" t="s">
        <v>0</v>
      </c>
      <c r="F28" s="120" t="s">
        <v>104</v>
      </c>
      <c r="G28" s="120" t="s">
        <v>23</v>
      </c>
      <c r="H28" s="120" t="s">
        <v>138</v>
      </c>
      <c r="I28" s="120">
        <v>65</v>
      </c>
      <c r="J28" s="120">
        <v>1.73</v>
      </c>
      <c r="K28" s="120">
        <v>400</v>
      </c>
      <c r="L28" s="120">
        <v>1</v>
      </c>
      <c r="M28" s="120">
        <v>4.5599999999999996</v>
      </c>
      <c r="N28" s="120" t="s">
        <v>116</v>
      </c>
      <c r="O28" s="120" t="s">
        <v>117</v>
      </c>
      <c r="P28" s="120" t="s">
        <v>87</v>
      </c>
      <c r="Q28" s="120" t="s">
        <v>87</v>
      </c>
      <c r="R28" s="121" t="s">
        <v>118</v>
      </c>
      <c r="S28" s="120" t="s">
        <v>87</v>
      </c>
      <c r="T28" s="120" t="s">
        <v>87</v>
      </c>
      <c r="U28" s="152" t="s">
        <v>87</v>
      </c>
      <c r="V28" s="122">
        <v>1.4999999999999999E-2</v>
      </c>
      <c r="W28" s="120">
        <v>6000</v>
      </c>
      <c r="X28" s="120">
        <v>3096</v>
      </c>
      <c r="Y28" s="123">
        <f>W28</f>
        <v>6000</v>
      </c>
      <c r="Z28" s="123"/>
      <c r="AA28" s="120">
        <f>129.49/256</f>
        <v>0.50582031250000004</v>
      </c>
      <c r="AB28" s="120" t="s">
        <v>87</v>
      </c>
      <c r="AC28" s="120">
        <f t="shared" ref="AC28:AC37" si="7">ABS(AA28-0.5)</f>
        <v>5.8203125000000355E-3</v>
      </c>
      <c r="AD28" s="120">
        <f>128.36/256</f>
        <v>0.50140625000000005</v>
      </c>
      <c r="AE28" s="120" t="s">
        <v>87</v>
      </c>
      <c r="AF28" s="120">
        <f>0.9176/256</f>
        <v>3.5843749999999999E-3</v>
      </c>
      <c r="AG28" s="120" t="s">
        <v>87</v>
      </c>
      <c r="AH28" s="120">
        <f t="shared" ref="AH28:AH33" si="8">AD28/AF28</f>
        <v>139.88666085440281</v>
      </c>
      <c r="AI28" s="120" t="s">
        <v>87</v>
      </c>
      <c r="AJ28" s="120" t="s">
        <v>34</v>
      </c>
      <c r="AK28" s="120">
        <v>0.99660000000000004</v>
      </c>
      <c r="AL28" s="120">
        <v>3.6299999999999999E-2</v>
      </c>
      <c r="AM28" s="120" t="s">
        <v>340</v>
      </c>
      <c r="AN28" s="120">
        <v>12</v>
      </c>
      <c r="AO28" s="120" t="s">
        <v>91</v>
      </c>
      <c r="AP28" s="120" t="s">
        <v>91</v>
      </c>
      <c r="AQ28" s="120">
        <f>AH28/(M28*Y28*V28)</f>
        <v>0.34085443677973398</v>
      </c>
      <c r="AR28" s="125" t="s">
        <v>87</v>
      </c>
      <c r="AS28" s="67"/>
      <c r="AW28"/>
      <c r="AX28"/>
    </row>
    <row r="29" spans="1:50" s="6" customFormat="1" ht="85.8" customHeight="1" x14ac:dyDescent="0.3">
      <c r="A29" s="20"/>
      <c r="B29" s="87">
        <v>27</v>
      </c>
      <c r="C29" s="119" t="s">
        <v>206</v>
      </c>
      <c r="D29" s="120">
        <v>2015</v>
      </c>
      <c r="E29" s="120" t="s">
        <v>2</v>
      </c>
      <c r="F29" s="120" t="s">
        <v>195</v>
      </c>
      <c r="G29" s="120" t="s">
        <v>24</v>
      </c>
      <c r="H29" s="120" t="s">
        <v>110</v>
      </c>
      <c r="I29" s="120">
        <v>65</v>
      </c>
      <c r="J29" s="120">
        <v>7.1</v>
      </c>
      <c r="K29" s="120">
        <v>500</v>
      </c>
      <c r="L29" s="120">
        <v>1</v>
      </c>
      <c r="M29" s="120">
        <v>2</v>
      </c>
      <c r="N29" s="120" t="s">
        <v>123</v>
      </c>
      <c r="O29" s="120" t="s">
        <v>124</v>
      </c>
      <c r="P29" s="120">
        <v>0.13</v>
      </c>
      <c r="Q29" s="120">
        <v>0.44</v>
      </c>
      <c r="R29" s="121" t="s">
        <v>87</v>
      </c>
      <c r="S29" s="120">
        <v>2</v>
      </c>
      <c r="T29" s="120">
        <v>2</v>
      </c>
      <c r="U29" s="152">
        <v>10.199999999999999</v>
      </c>
      <c r="V29" s="122">
        <v>1.1000000000000001</v>
      </c>
      <c r="W29" s="120">
        <v>3.07</v>
      </c>
      <c r="X29" s="120">
        <v>256</v>
      </c>
      <c r="Y29" s="123">
        <v>726.62721893491107</v>
      </c>
      <c r="Z29" s="120">
        <v>1756</v>
      </c>
      <c r="AA29" s="120">
        <v>0.49277343750000002</v>
      </c>
      <c r="AB29" s="120" t="s">
        <v>87</v>
      </c>
      <c r="AC29" s="120">
        <v>7.2265624999999778E-3</v>
      </c>
      <c r="AD29" s="120">
        <v>0.50009999999999999</v>
      </c>
      <c r="AE29" s="120">
        <v>2.8000000000000001E-2</v>
      </c>
      <c r="AF29" s="120">
        <v>5.7000000000000002E-3</v>
      </c>
      <c r="AG29" s="120">
        <v>4.1999999999999997E-3</v>
      </c>
      <c r="AH29" s="120">
        <v>87.73684210526315</v>
      </c>
      <c r="AI29" s="120">
        <f>(AD29-3*AE29)/(AF29+3*AG29)</f>
        <v>22.737704918032787</v>
      </c>
      <c r="AJ29" s="120" t="s">
        <v>34</v>
      </c>
      <c r="AK29" s="120">
        <v>0.99980000000000002</v>
      </c>
      <c r="AL29" s="120">
        <v>1.8800000000000001E-2</v>
      </c>
      <c r="AM29" s="120" t="s">
        <v>340</v>
      </c>
      <c r="AN29" s="120">
        <v>1</v>
      </c>
      <c r="AO29" s="120" t="s">
        <v>91</v>
      </c>
      <c r="AP29" s="120" t="s">
        <v>91</v>
      </c>
      <c r="AQ29" s="120">
        <v>5.4884240138397523E-2</v>
      </c>
      <c r="AR29" s="125">
        <v>4.1703681768828355E-3</v>
      </c>
      <c r="AS29" s="58"/>
      <c r="AW29"/>
      <c r="AX29"/>
    </row>
    <row r="30" spans="1:50" s="6" customFormat="1" ht="67.650000000000006" customHeight="1" x14ac:dyDescent="0.3">
      <c r="A30" s="20"/>
      <c r="B30" s="87">
        <v>28</v>
      </c>
      <c r="C30" s="119" t="s">
        <v>25</v>
      </c>
      <c r="D30" s="120">
        <v>2015</v>
      </c>
      <c r="E30" s="120" t="s">
        <v>26</v>
      </c>
      <c r="F30" s="120" t="s">
        <v>196</v>
      </c>
      <c r="G30" s="120" t="s">
        <v>27</v>
      </c>
      <c r="H30" s="120" t="s">
        <v>110</v>
      </c>
      <c r="I30" s="120">
        <v>180</v>
      </c>
      <c r="J30" s="120">
        <v>0</v>
      </c>
      <c r="K30" s="120"/>
      <c r="L30" s="120">
        <v>1.8</v>
      </c>
      <c r="M30" s="120">
        <v>3.43</v>
      </c>
      <c r="N30" s="120" t="s">
        <v>62</v>
      </c>
      <c r="O30" s="124" t="s">
        <v>61</v>
      </c>
      <c r="P30" s="120">
        <v>1.3</v>
      </c>
      <c r="Q30" s="120">
        <v>4.4000000000000004</v>
      </c>
      <c r="R30" s="121" t="s">
        <v>118</v>
      </c>
      <c r="S30" s="120">
        <f>M30</f>
        <v>3.43</v>
      </c>
      <c r="T30" s="120" t="s">
        <v>87</v>
      </c>
      <c r="U30" s="152" t="s">
        <v>87</v>
      </c>
      <c r="V30" s="122" t="s">
        <v>52</v>
      </c>
      <c r="W30" s="120">
        <f>15*25/(0.018^2)</f>
        <v>1157407.4074074076</v>
      </c>
      <c r="X30" s="120" t="s">
        <v>87</v>
      </c>
      <c r="Y30" s="123">
        <f>15*25/(0.18^2)</f>
        <v>11574.074074074075</v>
      </c>
      <c r="Z30" s="120">
        <f>31*55/(0.018^2)</f>
        <v>5262345.6790123461</v>
      </c>
      <c r="AA30" s="120">
        <f>49.94/100</f>
        <v>0.49939999999999996</v>
      </c>
      <c r="AB30" s="120" t="s">
        <v>238</v>
      </c>
      <c r="AC30" s="120">
        <f t="shared" si="7"/>
        <v>6.0000000000004494E-4</v>
      </c>
      <c r="AD30" s="120">
        <v>0.50070000000000003</v>
      </c>
      <c r="AE30" s="120" t="s">
        <v>87</v>
      </c>
      <c r="AF30" s="120">
        <v>1.17</v>
      </c>
      <c r="AG30" s="120" t="s">
        <v>87</v>
      </c>
      <c r="AH30" s="120">
        <f t="shared" si="8"/>
        <v>0.42794871794871803</v>
      </c>
      <c r="AI30" s="120" t="s">
        <v>87</v>
      </c>
      <c r="AJ30" s="120" t="s">
        <v>87</v>
      </c>
      <c r="AK30" s="120" t="s">
        <v>87</v>
      </c>
      <c r="AL30" s="120" t="s">
        <v>87</v>
      </c>
      <c r="AM30" s="120" t="s">
        <v>340</v>
      </c>
      <c r="AN30" s="120">
        <v>1</v>
      </c>
      <c r="AO30" s="120" t="s">
        <v>91</v>
      </c>
      <c r="AP30" s="120" t="s">
        <v>91</v>
      </c>
      <c r="AQ30" s="120" t="s">
        <v>87</v>
      </c>
      <c r="AR30" s="125" t="s">
        <v>87</v>
      </c>
      <c r="AS30" s="58"/>
      <c r="AW30"/>
      <c r="AX30"/>
    </row>
    <row r="31" spans="1:50" ht="72.45" customHeight="1" x14ac:dyDescent="0.3">
      <c r="B31" s="87">
        <v>29</v>
      </c>
      <c r="C31" s="119" t="s">
        <v>305</v>
      </c>
      <c r="D31" s="120">
        <v>2015</v>
      </c>
      <c r="E31" s="120" t="s">
        <v>0</v>
      </c>
      <c r="F31" s="120" t="s">
        <v>105</v>
      </c>
      <c r="G31" s="120" t="s">
        <v>87</v>
      </c>
      <c r="H31" s="120" t="s">
        <v>111</v>
      </c>
      <c r="I31" s="120">
        <v>40</v>
      </c>
      <c r="J31" s="120">
        <v>9</v>
      </c>
      <c r="K31" s="120">
        <v>1000</v>
      </c>
      <c r="L31" s="120">
        <v>0.9</v>
      </c>
      <c r="M31" s="120">
        <v>12.5</v>
      </c>
      <c r="N31" s="120" t="s">
        <v>107</v>
      </c>
      <c r="O31" s="124" t="s">
        <v>106</v>
      </c>
      <c r="P31" s="120" t="s">
        <v>87</v>
      </c>
      <c r="Q31" s="120">
        <v>1.8</v>
      </c>
      <c r="R31" s="121">
        <v>4</v>
      </c>
      <c r="S31" s="120">
        <v>12.5</v>
      </c>
      <c r="T31" s="120" t="s">
        <v>237</v>
      </c>
      <c r="U31" s="152">
        <v>1.6</v>
      </c>
      <c r="V31" s="122">
        <v>17.75</v>
      </c>
      <c r="W31" s="120">
        <v>527850</v>
      </c>
      <c r="X31" s="120">
        <v>256</v>
      </c>
      <c r="Y31" s="123">
        <v>527849.99999999988</v>
      </c>
      <c r="Z31" s="120">
        <v>1055699.9999999998</v>
      </c>
      <c r="AA31" s="120" t="s">
        <v>87</v>
      </c>
      <c r="AB31" s="120" t="s">
        <v>87</v>
      </c>
      <c r="AC31" s="120" t="s">
        <v>87</v>
      </c>
      <c r="AD31" s="120">
        <v>0.50070000000000003</v>
      </c>
      <c r="AE31" s="120">
        <v>6.2700000000000006E-2</v>
      </c>
      <c r="AF31" s="120">
        <v>1.01E-2</v>
      </c>
      <c r="AG31" s="120">
        <v>6.3500000000000001E-2</v>
      </c>
      <c r="AH31" s="120">
        <v>49.57425742574258</v>
      </c>
      <c r="AI31" s="120">
        <f>(AD31-3*AE31)/(AF31+3*AG31)</f>
        <v>1.5583250249252243</v>
      </c>
      <c r="AJ31" s="120" t="s">
        <v>34</v>
      </c>
      <c r="AK31" s="120" t="s">
        <v>87</v>
      </c>
      <c r="AL31" s="120">
        <v>2.8299999999999999E-2</v>
      </c>
      <c r="AM31" s="120" t="s">
        <v>341</v>
      </c>
      <c r="AN31" s="126">
        <v>5.5000000000000003E+28</v>
      </c>
      <c r="AO31" s="120" t="s">
        <v>91</v>
      </c>
      <c r="AP31" s="120" t="s">
        <v>92</v>
      </c>
      <c r="AQ31" s="120">
        <v>4.2328933012173031E-7</v>
      </c>
      <c r="AR31" s="125">
        <v>1.330574354846519E-8</v>
      </c>
    </row>
    <row r="32" spans="1:50" s="20" customFormat="1" ht="87.6" customHeight="1" x14ac:dyDescent="0.3">
      <c r="B32" s="87">
        <v>30</v>
      </c>
      <c r="C32" s="13" t="s">
        <v>204</v>
      </c>
      <c r="D32" s="68">
        <v>2016</v>
      </c>
      <c r="E32" s="68" t="s">
        <v>0</v>
      </c>
      <c r="F32" s="68" t="s">
        <v>95</v>
      </c>
      <c r="G32" s="68" t="s">
        <v>87</v>
      </c>
      <c r="H32" s="68" t="s">
        <v>110</v>
      </c>
      <c r="I32" s="68">
        <v>45</v>
      </c>
      <c r="J32" s="68">
        <v>18.5</v>
      </c>
      <c r="K32" s="68"/>
      <c r="L32" s="68" t="s">
        <v>52</v>
      </c>
      <c r="M32" s="68" t="s">
        <v>87</v>
      </c>
      <c r="N32" s="68" t="s">
        <v>101</v>
      </c>
      <c r="O32" s="16" t="s">
        <v>98</v>
      </c>
      <c r="P32" s="68" t="s">
        <v>87</v>
      </c>
      <c r="Q32" s="68">
        <v>0.15</v>
      </c>
      <c r="R32" s="23" t="s">
        <v>102</v>
      </c>
      <c r="S32" s="17">
        <v>0.1</v>
      </c>
      <c r="T32" s="17">
        <v>1.9999999999999999E-38</v>
      </c>
      <c r="U32" s="153">
        <v>0.3125</v>
      </c>
      <c r="V32" s="102" t="s">
        <v>87</v>
      </c>
      <c r="W32" s="68" t="s">
        <v>87</v>
      </c>
      <c r="X32" s="68">
        <v>24</v>
      </c>
      <c r="Y32" s="60">
        <f>5.292/(0.045^2)</f>
        <v>2613.3333333333335</v>
      </c>
      <c r="Z32" s="68">
        <f>Y32*5</f>
        <v>13066.666666666668</v>
      </c>
      <c r="AA32" s="68">
        <v>0.53339999999999999</v>
      </c>
      <c r="AB32" s="68">
        <v>4.36E-2</v>
      </c>
      <c r="AC32" s="68">
        <f t="shared" si="7"/>
        <v>3.3399999999999985E-2</v>
      </c>
      <c r="AD32" s="68">
        <v>0.498</v>
      </c>
      <c r="AE32" s="68">
        <v>4.36E-2</v>
      </c>
      <c r="AF32" s="68">
        <v>1E-3</v>
      </c>
      <c r="AG32" s="68" t="s">
        <v>87</v>
      </c>
      <c r="AH32" s="68">
        <f t="shared" si="8"/>
        <v>498</v>
      </c>
      <c r="AI32" s="68" t="s">
        <v>87</v>
      </c>
      <c r="AJ32" s="68" t="s">
        <v>87</v>
      </c>
      <c r="AK32" s="68">
        <v>0.99999800000000005</v>
      </c>
      <c r="AL32" s="68">
        <v>1.7999999999999999E-2</v>
      </c>
      <c r="AM32" s="68" t="s">
        <v>340</v>
      </c>
      <c r="AN32" s="59">
        <v>1</v>
      </c>
      <c r="AO32" s="59" t="s">
        <v>91</v>
      </c>
      <c r="AP32" s="59" t="s">
        <v>92</v>
      </c>
      <c r="AQ32" s="68" t="s">
        <v>87</v>
      </c>
      <c r="AR32" s="89" t="s">
        <v>87</v>
      </c>
      <c r="AS32" s="58"/>
      <c r="AW32"/>
      <c r="AX32"/>
    </row>
    <row r="33" spans="2:50" s="20" customFormat="1" ht="72" x14ac:dyDescent="0.3">
      <c r="B33" s="87">
        <v>31</v>
      </c>
      <c r="C33" s="13" t="s">
        <v>199</v>
      </c>
      <c r="D33" s="68">
        <v>2016</v>
      </c>
      <c r="E33" s="68" t="s">
        <v>20</v>
      </c>
      <c r="F33" s="68" t="s">
        <v>104</v>
      </c>
      <c r="G33" s="68" t="s">
        <v>23</v>
      </c>
      <c r="H33" s="68" t="s">
        <v>138</v>
      </c>
      <c r="I33" s="68">
        <v>65</v>
      </c>
      <c r="J33" s="68">
        <v>2.34</v>
      </c>
      <c r="K33" s="68">
        <v>400</v>
      </c>
      <c r="L33" s="68">
        <v>1</v>
      </c>
      <c r="M33" s="68">
        <v>5.72</v>
      </c>
      <c r="N33" s="68" t="s">
        <v>60</v>
      </c>
      <c r="O33" s="68" t="s">
        <v>59</v>
      </c>
      <c r="P33" s="68" t="s">
        <v>87</v>
      </c>
      <c r="Q33" s="68" t="s">
        <v>87</v>
      </c>
      <c r="R33" s="23" t="s">
        <v>87</v>
      </c>
      <c r="S33" s="68" t="s">
        <v>87</v>
      </c>
      <c r="T33" s="68" t="s">
        <v>87</v>
      </c>
      <c r="U33" s="153" t="s">
        <v>87</v>
      </c>
      <c r="V33" s="102">
        <v>1.4999999999999999E-2</v>
      </c>
      <c r="W33" s="68">
        <v>6000</v>
      </c>
      <c r="X33" s="68">
        <v>3040</v>
      </c>
      <c r="Y33" s="60">
        <f>W33</f>
        <v>6000</v>
      </c>
      <c r="Z33" s="60">
        <f>Y33</f>
        <v>6000</v>
      </c>
      <c r="AA33" s="68">
        <f>128.4/(256)</f>
        <v>0.50156250000000002</v>
      </c>
      <c r="AB33" s="68" t="s">
        <v>87</v>
      </c>
      <c r="AC33" s="68">
        <f>ABS(AA33-0.5)</f>
        <v>1.5625000000000222E-3</v>
      </c>
      <c r="AD33" s="68">
        <f>128.35/256</f>
        <v>0.50136718749999998</v>
      </c>
      <c r="AE33" s="68" t="s">
        <v>87</v>
      </c>
      <c r="AF33" s="68">
        <f>0.8611/256</f>
        <v>3.3636718749999999E-3</v>
      </c>
      <c r="AG33" s="68" t="s">
        <v>87</v>
      </c>
      <c r="AH33" s="68">
        <f t="shared" si="8"/>
        <v>149.05353617466031</v>
      </c>
      <c r="AI33" s="68" t="s">
        <v>87</v>
      </c>
      <c r="AJ33" s="68" t="s">
        <v>34</v>
      </c>
      <c r="AK33" s="68">
        <v>0.99670000000000003</v>
      </c>
      <c r="AL33" s="68">
        <v>3.6299999999999999E-2</v>
      </c>
      <c r="AM33" s="68" t="s">
        <v>340</v>
      </c>
      <c r="AN33" s="68">
        <v>11</v>
      </c>
      <c r="AO33" s="68" t="s">
        <v>91</v>
      </c>
      <c r="AP33" s="68" t="s">
        <v>91</v>
      </c>
      <c r="AQ33" s="68">
        <f>AH33/(M33*Y33*V33)</f>
        <v>0.28953678355606122</v>
      </c>
      <c r="AR33" s="88" t="s">
        <v>87</v>
      </c>
      <c r="AS33" s="67"/>
      <c r="AW33"/>
      <c r="AX33"/>
    </row>
    <row r="34" spans="2:50" s="20" customFormat="1" ht="72" x14ac:dyDescent="0.3">
      <c r="B34" s="87">
        <v>32</v>
      </c>
      <c r="C34" s="13" t="s">
        <v>199</v>
      </c>
      <c r="D34" s="68">
        <v>2016</v>
      </c>
      <c r="E34" s="68" t="s">
        <v>20</v>
      </c>
      <c r="F34" s="68" t="s">
        <v>104</v>
      </c>
      <c r="G34" s="68" t="s">
        <v>4</v>
      </c>
      <c r="H34" s="68" t="s">
        <v>112</v>
      </c>
      <c r="I34" s="68">
        <v>65</v>
      </c>
      <c r="J34" s="68">
        <v>16.66</v>
      </c>
      <c r="K34" s="68">
        <v>400</v>
      </c>
      <c r="L34" s="68">
        <v>1</v>
      </c>
      <c r="M34" s="68">
        <v>55.73</v>
      </c>
      <c r="N34" s="68" t="s">
        <v>60</v>
      </c>
      <c r="O34" s="68" t="s">
        <v>59</v>
      </c>
      <c r="P34" s="68" t="s">
        <v>87</v>
      </c>
      <c r="Q34" s="68" t="s">
        <v>87</v>
      </c>
      <c r="R34" s="68" t="s">
        <v>87</v>
      </c>
      <c r="S34" s="68" t="s">
        <v>87</v>
      </c>
      <c r="T34" s="68" t="s">
        <v>87</v>
      </c>
      <c r="U34" s="155" t="s">
        <v>87</v>
      </c>
      <c r="V34" s="102">
        <v>1.1000000000000001</v>
      </c>
      <c r="W34" s="68">
        <f>255*191</f>
        <v>48705</v>
      </c>
      <c r="X34" s="68">
        <f>16*1024</f>
        <v>16384</v>
      </c>
      <c r="Y34" s="60">
        <v>806</v>
      </c>
      <c r="Z34" s="60">
        <f t="shared" ref="Z34" si="9">Y34</f>
        <v>806</v>
      </c>
      <c r="AA34" s="68">
        <f>157.21/256</f>
        <v>0.61410156250000003</v>
      </c>
      <c r="AB34" s="68" t="s">
        <v>87</v>
      </c>
      <c r="AC34" s="68">
        <f t="shared" ref="AC34:AC35" si="10">ABS(AA34-0.5)</f>
        <v>0.11410156250000003</v>
      </c>
      <c r="AD34" s="68">
        <f>85.02/256</f>
        <v>0.33210937499999998</v>
      </c>
      <c r="AE34" s="68" t="s">
        <v>87</v>
      </c>
      <c r="AF34" s="68">
        <f>15.42/256</f>
        <v>6.0234375E-2</v>
      </c>
      <c r="AG34" s="68" t="s">
        <v>87</v>
      </c>
      <c r="AH34" s="68">
        <f t="shared" ref="AH34:AH35" si="11">AD34/AF34</f>
        <v>5.5136186770428015</v>
      </c>
      <c r="AI34" s="68" t="s">
        <v>87</v>
      </c>
      <c r="AJ34" s="68" t="s">
        <v>34</v>
      </c>
      <c r="AK34" s="68">
        <v>0.99029999999999996</v>
      </c>
      <c r="AL34" s="68">
        <v>1.5599999999999999E-2</v>
      </c>
      <c r="AM34" s="68" t="s">
        <v>340</v>
      </c>
      <c r="AN34" s="68">
        <v>512</v>
      </c>
      <c r="AO34" s="68" t="s">
        <v>92</v>
      </c>
      <c r="AP34" s="68" t="s">
        <v>91</v>
      </c>
      <c r="AQ34" s="68">
        <f>AH34/(M34*Y34*V34)</f>
        <v>1.1158863288242933E-4</v>
      </c>
      <c r="AR34" s="88" t="s">
        <v>87</v>
      </c>
      <c r="AS34" s="67"/>
      <c r="AW34"/>
      <c r="AX34"/>
    </row>
    <row r="35" spans="2:50" ht="72" x14ac:dyDescent="0.3">
      <c r="B35" s="87">
        <v>33</v>
      </c>
      <c r="C35" s="13" t="s">
        <v>199</v>
      </c>
      <c r="D35" s="68">
        <v>2016</v>
      </c>
      <c r="E35" s="68" t="s">
        <v>20</v>
      </c>
      <c r="F35" s="68" t="s">
        <v>104</v>
      </c>
      <c r="G35" s="68" t="s">
        <v>10</v>
      </c>
      <c r="H35" s="68" t="s">
        <v>111</v>
      </c>
      <c r="I35" s="68">
        <v>65</v>
      </c>
      <c r="J35" s="68">
        <v>18.16</v>
      </c>
      <c r="K35" s="68">
        <v>400</v>
      </c>
      <c r="L35" s="68">
        <v>0.5</v>
      </c>
      <c r="M35" s="68">
        <v>53.9</v>
      </c>
      <c r="N35" s="68" t="s">
        <v>200</v>
      </c>
      <c r="O35" s="68" t="s">
        <v>59</v>
      </c>
      <c r="P35" s="68" t="s">
        <v>87</v>
      </c>
      <c r="Q35" s="68" t="s">
        <v>87</v>
      </c>
      <c r="R35" s="68" t="s">
        <v>87</v>
      </c>
      <c r="S35" s="68" t="s">
        <v>87</v>
      </c>
      <c r="T35" s="68" t="s">
        <v>87</v>
      </c>
      <c r="U35" s="155" t="s">
        <v>87</v>
      </c>
      <c r="V35" s="102">
        <v>0.47499999999999998</v>
      </c>
      <c r="W35" s="68">
        <f>490*210</f>
        <v>102900</v>
      </c>
      <c r="X35" s="68">
        <v>1024</v>
      </c>
      <c r="Y35" s="60">
        <v>16642</v>
      </c>
      <c r="Z35" s="60">
        <v>23784</v>
      </c>
      <c r="AA35" s="68">
        <f>128.58/256</f>
        <v>0.50226562500000005</v>
      </c>
      <c r="AB35" s="68" t="s">
        <v>87</v>
      </c>
      <c r="AC35" s="68">
        <f t="shared" si="10"/>
        <v>2.2656250000000488E-3</v>
      </c>
      <c r="AD35" s="68">
        <f>121.28/256</f>
        <v>0.47375</v>
      </c>
      <c r="AE35" s="68" t="s">
        <v>87</v>
      </c>
      <c r="AF35" s="68">
        <f>11.72/256</f>
        <v>4.5781250000000002E-2</v>
      </c>
      <c r="AG35" s="68" t="s">
        <v>87</v>
      </c>
      <c r="AH35" s="68">
        <f t="shared" si="11"/>
        <v>10.348122866894197</v>
      </c>
      <c r="AI35" s="68" t="s">
        <v>87</v>
      </c>
      <c r="AJ35" s="68" t="s">
        <v>34</v>
      </c>
      <c r="AK35" s="68">
        <v>0.99470000000000003</v>
      </c>
      <c r="AL35" s="68">
        <v>8.8400000000000006E-2</v>
      </c>
      <c r="AM35" s="68" t="s">
        <v>340</v>
      </c>
      <c r="AN35" s="68">
        <v>1024</v>
      </c>
      <c r="AO35" s="68" t="s">
        <v>91</v>
      </c>
      <c r="AP35" s="68" t="s">
        <v>92</v>
      </c>
      <c r="AQ35" s="68">
        <f>AH35/(M35*Y35*V35)</f>
        <v>2.4286989447581401E-5</v>
      </c>
      <c r="AR35" s="88" t="s">
        <v>87</v>
      </c>
      <c r="AS35" s="67"/>
    </row>
    <row r="36" spans="2:50" s="11" customFormat="1" ht="86.4" x14ac:dyDescent="0.3">
      <c r="B36" s="87">
        <v>34</v>
      </c>
      <c r="C36" s="13" t="s">
        <v>303</v>
      </c>
      <c r="D36" s="68">
        <v>2016</v>
      </c>
      <c r="E36" s="68" t="s">
        <v>20</v>
      </c>
      <c r="F36" s="68" t="s">
        <v>195</v>
      </c>
      <c r="G36" s="68" t="s">
        <v>24</v>
      </c>
      <c r="H36" s="68" t="s">
        <v>110</v>
      </c>
      <c r="I36" s="68">
        <v>65</v>
      </c>
      <c r="J36" s="68">
        <v>6.54</v>
      </c>
      <c r="K36" s="68"/>
      <c r="L36" s="68">
        <v>1</v>
      </c>
      <c r="M36" s="68">
        <v>6.54</v>
      </c>
      <c r="N36" s="68" t="s">
        <v>123</v>
      </c>
      <c r="O36" s="68" t="s">
        <v>124</v>
      </c>
      <c r="P36" s="68">
        <v>0.13</v>
      </c>
      <c r="Q36" s="68">
        <v>0.44</v>
      </c>
      <c r="R36" s="68">
        <v>2</v>
      </c>
      <c r="S36" s="68">
        <v>6.54</v>
      </c>
      <c r="T36" s="68">
        <v>2</v>
      </c>
      <c r="U36" s="155">
        <v>10.199999999999999</v>
      </c>
      <c r="V36" s="102">
        <v>6.02</v>
      </c>
      <c r="W36" s="68"/>
      <c r="X36" s="68"/>
      <c r="Y36" s="60">
        <v>726.62721893491107</v>
      </c>
      <c r="Z36" s="60">
        <v>1756.2130177514791</v>
      </c>
      <c r="AA36" s="68"/>
      <c r="AB36" s="68"/>
      <c r="AC36" s="68"/>
      <c r="AD36" s="68">
        <v>0.50009999999999999</v>
      </c>
      <c r="AE36" s="68">
        <v>2.8000000000000001E-2</v>
      </c>
      <c r="AF36" s="68">
        <v>5.0000000000000001E-3</v>
      </c>
      <c r="AG36" s="68">
        <v>4.4999999999999997E-3</v>
      </c>
      <c r="AH36" s="68">
        <v>100.02</v>
      </c>
      <c r="AI36" s="68">
        <f>(AD36-3*AE36)/(AF36+3*AG36)</f>
        <v>22.491891891891893</v>
      </c>
      <c r="AJ36" s="68" t="s">
        <v>34</v>
      </c>
      <c r="AK36" s="68"/>
      <c r="AL36" s="68">
        <v>1.8800000000000001E-2</v>
      </c>
      <c r="AM36" s="68" t="s">
        <v>340</v>
      </c>
      <c r="AN36" s="68"/>
      <c r="AO36" s="68"/>
      <c r="AP36" s="68"/>
      <c r="AQ36" s="68"/>
      <c r="AR36" s="88"/>
      <c r="AS36" s="67"/>
      <c r="AW36"/>
      <c r="AX36"/>
    </row>
    <row r="37" spans="2:50" ht="78.3" customHeight="1" x14ac:dyDescent="0.3">
      <c r="B37" s="87">
        <v>35</v>
      </c>
      <c r="C37" s="109" t="s">
        <v>205</v>
      </c>
      <c r="D37" s="70">
        <v>2016</v>
      </c>
      <c r="E37" s="70" t="s">
        <v>2</v>
      </c>
      <c r="F37" s="70" t="s">
        <v>94</v>
      </c>
      <c r="G37" s="70" t="s">
        <v>87</v>
      </c>
      <c r="H37" s="70" t="s">
        <v>128</v>
      </c>
      <c r="I37" s="70">
        <v>14</v>
      </c>
      <c r="J37" s="70">
        <v>26</v>
      </c>
      <c r="K37" s="70"/>
      <c r="L37" s="70">
        <v>0.65</v>
      </c>
      <c r="M37" s="70">
        <v>26</v>
      </c>
      <c r="N37" s="70" t="s">
        <v>64</v>
      </c>
      <c r="O37" s="70" t="s">
        <v>63</v>
      </c>
      <c r="P37" s="70" t="s">
        <v>87</v>
      </c>
      <c r="Q37" s="70" t="s">
        <v>87</v>
      </c>
      <c r="R37" s="24" t="s">
        <v>88</v>
      </c>
      <c r="S37" s="17">
        <v>1.46E-2</v>
      </c>
      <c r="T37" s="17" t="s">
        <v>87</v>
      </c>
      <c r="U37" s="154">
        <v>500</v>
      </c>
      <c r="V37" s="73">
        <v>4.0000000000000001E-3</v>
      </c>
      <c r="W37" s="70">
        <f>1.84*1024</f>
        <v>1884.16</v>
      </c>
      <c r="X37" s="70">
        <v>1024</v>
      </c>
      <c r="Y37" s="62">
        <f>W37/(X37*(0.014)^2)</f>
        <v>9387.7551020408155</v>
      </c>
      <c r="Z37" s="62">
        <f>Y37</f>
        <v>9387.7551020408155</v>
      </c>
      <c r="AA37" s="70">
        <v>0.49509999999999998</v>
      </c>
      <c r="AB37" s="70" t="s">
        <v>87</v>
      </c>
      <c r="AC37" s="68">
        <f t="shared" si="7"/>
        <v>4.9000000000000155E-3</v>
      </c>
      <c r="AD37" s="70" t="s">
        <v>87</v>
      </c>
      <c r="AE37" s="70" t="s">
        <v>87</v>
      </c>
      <c r="AF37" s="70" t="s">
        <v>87</v>
      </c>
      <c r="AG37" s="70" t="s">
        <v>87</v>
      </c>
      <c r="AH37" s="70" t="s">
        <v>87</v>
      </c>
      <c r="AI37" s="70" t="s">
        <v>87</v>
      </c>
      <c r="AJ37" s="70" t="s">
        <v>87</v>
      </c>
      <c r="AK37" s="70">
        <v>0.99992999999999999</v>
      </c>
      <c r="AL37" s="70" t="s">
        <v>87</v>
      </c>
      <c r="AM37" s="70" t="s">
        <v>340</v>
      </c>
      <c r="AN37" s="59">
        <v>1</v>
      </c>
      <c r="AO37" s="59" t="s">
        <v>91</v>
      </c>
      <c r="AP37" s="59" t="s">
        <v>91</v>
      </c>
      <c r="AQ37" s="68" t="s">
        <v>87</v>
      </c>
      <c r="AR37" s="89" t="s">
        <v>87</v>
      </c>
    </row>
    <row r="38" spans="2:50" ht="86.4" x14ac:dyDescent="0.3">
      <c r="B38" s="87">
        <v>36</v>
      </c>
      <c r="C38" s="4" t="s">
        <v>252</v>
      </c>
      <c r="D38" s="70">
        <v>2016</v>
      </c>
      <c r="E38" s="70" t="s">
        <v>253</v>
      </c>
      <c r="F38" s="70" t="s">
        <v>254</v>
      </c>
      <c r="G38" s="70" t="s">
        <v>255</v>
      </c>
      <c r="H38" s="70"/>
      <c r="I38" s="70">
        <v>40</v>
      </c>
      <c r="J38" s="70"/>
      <c r="K38" s="70"/>
      <c r="L38" s="70"/>
      <c r="M38" s="70"/>
      <c r="N38" s="70" t="s">
        <v>270</v>
      </c>
      <c r="O38" s="70"/>
      <c r="P38" s="70"/>
      <c r="Q38" s="70"/>
      <c r="R38" s="24"/>
      <c r="S38" s="70"/>
      <c r="T38" s="70"/>
      <c r="U38" s="154"/>
      <c r="V38" s="73"/>
      <c r="W38" s="70"/>
      <c r="X38" s="70"/>
      <c r="Y38" s="62">
        <f>0.097/(0.04^2)</f>
        <v>60.625</v>
      </c>
      <c r="Z38" s="70"/>
      <c r="AA38" s="70"/>
      <c r="AB38" s="70"/>
      <c r="AC38" s="68"/>
      <c r="AD38" s="70">
        <v>0.4985</v>
      </c>
      <c r="AE38" s="70">
        <v>1.5800000000000002E-2</v>
      </c>
      <c r="AF38" s="70">
        <v>1.9E-3</v>
      </c>
      <c r="AG38" s="70">
        <v>0</v>
      </c>
      <c r="AH38" s="68"/>
      <c r="AI38" s="68"/>
      <c r="AJ38" s="70" t="s">
        <v>34</v>
      </c>
      <c r="AK38" s="70"/>
      <c r="AL38" s="70"/>
      <c r="AM38" s="70" t="s">
        <v>340</v>
      </c>
      <c r="AN38" s="59"/>
      <c r="AO38" s="59"/>
      <c r="AP38" s="59"/>
      <c r="AQ38" s="68"/>
      <c r="AR38" s="88"/>
      <c r="AW38" s="11"/>
      <c r="AX38" s="11"/>
    </row>
    <row r="39" spans="2:50" ht="72" x14ac:dyDescent="0.3">
      <c r="B39" s="87">
        <v>37</v>
      </c>
      <c r="C39" s="136" t="s">
        <v>247</v>
      </c>
      <c r="D39" s="137">
        <v>2017</v>
      </c>
      <c r="E39" s="137" t="s">
        <v>0</v>
      </c>
      <c r="F39" s="137" t="s">
        <v>192</v>
      </c>
      <c r="G39" s="137" t="s">
        <v>248</v>
      </c>
      <c r="H39" s="137" t="s">
        <v>138</v>
      </c>
      <c r="I39" s="137">
        <v>180</v>
      </c>
      <c r="J39" s="137">
        <v>1.73</v>
      </c>
      <c r="K39" s="137">
        <v>2000</v>
      </c>
      <c r="L39" s="137">
        <v>1.2</v>
      </c>
      <c r="M39" s="137">
        <v>3.16</v>
      </c>
      <c r="N39" s="137" t="s">
        <v>257</v>
      </c>
      <c r="O39" s="137" t="s">
        <v>258</v>
      </c>
      <c r="P39" s="137">
        <v>0.28999999999999998</v>
      </c>
      <c r="Q39" s="137">
        <v>0.21</v>
      </c>
      <c r="R39" s="138" t="s">
        <v>264</v>
      </c>
      <c r="S39" s="137">
        <v>1.8E-3</v>
      </c>
      <c r="T39" s="137">
        <v>8.0000000000000004E-4</v>
      </c>
      <c r="U39" s="156">
        <v>4832</v>
      </c>
      <c r="V39" s="139">
        <v>1.4E-2</v>
      </c>
      <c r="W39" s="137">
        <v>24.3978</v>
      </c>
      <c r="X39" s="137">
        <v>64</v>
      </c>
      <c r="Y39" s="140">
        <v>782</v>
      </c>
      <c r="Z39" s="137">
        <v>1082</v>
      </c>
      <c r="AA39" s="137" t="s">
        <v>87</v>
      </c>
      <c r="AB39" s="137" t="s">
        <v>87</v>
      </c>
      <c r="AC39" s="120" t="s">
        <v>87</v>
      </c>
      <c r="AD39" s="137">
        <v>0.49890000000000001</v>
      </c>
      <c r="AE39" s="137">
        <v>6.2399999999999997E-2</v>
      </c>
      <c r="AF39" s="137">
        <v>6.9999999999999999E-4</v>
      </c>
      <c r="AG39" s="137">
        <v>3.2000000000000002E-3</v>
      </c>
      <c r="AH39" s="120">
        <v>712.71428571428578</v>
      </c>
      <c r="AI39" s="120">
        <f>(AD39-3*AE39)/(AF39+3*AG39)</f>
        <v>30.262135922330099</v>
      </c>
      <c r="AJ39" s="137" t="s">
        <v>87</v>
      </c>
      <c r="AK39" s="137"/>
      <c r="AL39" s="137">
        <v>1.67E-2</v>
      </c>
      <c r="AM39" s="137" t="s">
        <v>340</v>
      </c>
      <c r="AN39" s="120">
        <v>16</v>
      </c>
      <c r="AO39" s="120" t="s">
        <v>91</v>
      </c>
      <c r="AP39" s="120"/>
      <c r="AQ39" s="120" t="s">
        <v>87</v>
      </c>
      <c r="AR39" s="125" t="s">
        <v>87</v>
      </c>
    </row>
    <row r="40" spans="2:50" ht="93" customHeight="1" x14ac:dyDescent="0.3">
      <c r="B40" s="87">
        <v>38</v>
      </c>
      <c r="C40" s="136" t="s">
        <v>247</v>
      </c>
      <c r="D40" s="137">
        <v>2017</v>
      </c>
      <c r="E40" s="137" t="s">
        <v>0</v>
      </c>
      <c r="F40" s="137" t="s">
        <v>192</v>
      </c>
      <c r="G40" s="137" t="s">
        <v>256</v>
      </c>
      <c r="H40" s="137" t="s">
        <v>138</v>
      </c>
      <c r="I40" s="137">
        <v>180</v>
      </c>
      <c r="J40" s="137">
        <v>1.67</v>
      </c>
      <c r="K40" s="137">
        <v>2000</v>
      </c>
      <c r="L40" s="137">
        <v>1.2</v>
      </c>
      <c r="M40" s="137">
        <v>2.0099999999999998</v>
      </c>
      <c r="N40" s="137" t="s">
        <v>257</v>
      </c>
      <c r="O40" s="141" t="s">
        <v>258</v>
      </c>
      <c r="P40" s="137">
        <v>0.2</v>
      </c>
      <c r="Q40" s="137">
        <v>0.2</v>
      </c>
      <c r="R40" s="138" t="s">
        <v>264</v>
      </c>
      <c r="S40" s="137">
        <v>1.2999999999999999E-3</v>
      </c>
      <c r="T40" s="137">
        <v>5.0000000000000001E-4</v>
      </c>
      <c r="U40" s="156">
        <v>4832</v>
      </c>
      <c r="V40" s="139">
        <v>1.0999999999999999E-2</v>
      </c>
      <c r="W40" s="137">
        <v>17.907800000000002</v>
      </c>
      <c r="X40" s="137">
        <v>64</v>
      </c>
      <c r="Y40" s="140">
        <v>553</v>
      </c>
      <c r="Z40" s="120">
        <v>843</v>
      </c>
      <c r="AA40" s="137" t="s">
        <v>87</v>
      </c>
      <c r="AB40" s="137" t="s">
        <v>87</v>
      </c>
      <c r="AC40" s="120" t="s">
        <v>87</v>
      </c>
      <c r="AD40" s="137">
        <v>0.49880000000000002</v>
      </c>
      <c r="AE40" s="137">
        <v>6.3500000000000001E-2</v>
      </c>
      <c r="AF40" s="137">
        <v>8.0000000000000004E-4</v>
      </c>
      <c r="AG40" s="137">
        <v>3.8E-3</v>
      </c>
      <c r="AH40" s="120">
        <f>AD40/AF40</f>
        <v>623.5</v>
      </c>
      <c r="AI40" s="120">
        <f>(AD40-3*AE40)/(AF40+3*AG40)</f>
        <v>25.270491803278688</v>
      </c>
      <c r="AJ40" s="137" t="s">
        <v>87</v>
      </c>
      <c r="AK40" s="137"/>
      <c r="AL40" s="137">
        <v>1.7299999999999999E-2</v>
      </c>
      <c r="AM40" s="137" t="s">
        <v>340</v>
      </c>
      <c r="AN40" s="120">
        <v>16</v>
      </c>
      <c r="AO40" s="120" t="s">
        <v>91</v>
      </c>
      <c r="AP40" s="120"/>
      <c r="AQ40" s="120" t="s">
        <v>87</v>
      </c>
      <c r="AR40" s="125" t="s">
        <v>87</v>
      </c>
    </row>
    <row r="41" spans="2:50" ht="90.6" customHeight="1" x14ac:dyDescent="0.3">
      <c r="B41" s="87">
        <v>39</v>
      </c>
      <c r="C41" s="136" t="s">
        <v>272</v>
      </c>
      <c r="D41" s="137">
        <v>2017</v>
      </c>
      <c r="E41" s="137" t="s">
        <v>273</v>
      </c>
      <c r="F41" s="137" t="s">
        <v>274</v>
      </c>
      <c r="G41" s="137" t="s">
        <v>275</v>
      </c>
      <c r="H41" s="137" t="s">
        <v>110</v>
      </c>
      <c r="I41" s="137">
        <v>350</v>
      </c>
      <c r="J41" s="137"/>
      <c r="K41" s="137"/>
      <c r="L41" s="137">
        <v>1.2</v>
      </c>
      <c r="M41" s="137"/>
      <c r="N41" s="141" t="s">
        <v>277</v>
      </c>
      <c r="O41" s="141" t="s">
        <v>276</v>
      </c>
      <c r="P41" s="137">
        <v>1.25</v>
      </c>
      <c r="Q41" s="137">
        <v>1.18</v>
      </c>
      <c r="R41" s="138"/>
      <c r="S41" s="137">
        <v>0.16</v>
      </c>
      <c r="T41" s="137"/>
      <c r="U41" s="156"/>
      <c r="V41" s="139">
        <v>3.36</v>
      </c>
      <c r="W41" s="137"/>
      <c r="X41" s="137"/>
      <c r="Y41" s="140"/>
      <c r="Z41" s="137"/>
      <c r="AA41" s="137"/>
      <c r="AB41" s="137"/>
      <c r="AC41" s="120"/>
      <c r="AD41" s="137">
        <v>0.51480000000000004</v>
      </c>
      <c r="AE41" s="137"/>
      <c r="AF41" s="137"/>
      <c r="AG41" s="137"/>
      <c r="AH41" s="120"/>
      <c r="AI41" s="120"/>
      <c r="AJ41" s="137" t="s">
        <v>34</v>
      </c>
      <c r="AK41" s="137"/>
      <c r="AL41" s="137"/>
      <c r="AM41" s="137" t="s">
        <v>340</v>
      </c>
      <c r="AN41" s="120">
        <v>8128</v>
      </c>
      <c r="AO41" s="120"/>
      <c r="AP41" s="120"/>
      <c r="AQ41" s="120"/>
      <c r="AR41" s="125"/>
    </row>
    <row r="42" spans="2:50" ht="84.6" customHeight="1" x14ac:dyDescent="0.3">
      <c r="B42" s="87">
        <v>40</v>
      </c>
      <c r="C42" s="136" t="s">
        <v>279</v>
      </c>
      <c r="D42" s="137">
        <v>2017</v>
      </c>
      <c r="E42" s="137" t="s">
        <v>273</v>
      </c>
      <c r="F42" s="137" t="s">
        <v>195</v>
      </c>
      <c r="G42" s="137" t="s">
        <v>280</v>
      </c>
      <c r="H42" s="137" t="s">
        <v>110</v>
      </c>
      <c r="I42" s="137">
        <v>65</v>
      </c>
      <c r="J42" s="137">
        <v>2.15</v>
      </c>
      <c r="K42" s="137">
        <v>10000</v>
      </c>
      <c r="L42" s="137">
        <v>1</v>
      </c>
      <c r="M42" s="137">
        <v>5.3</v>
      </c>
      <c r="N42" s="141" t="s">
        <v>281</v>
      </c>
      <c r="O42" s="141" t="s">
        <v>282</v>
      </c>
      <c r="P42" s="137">
        <v>1.3</v>
      </c>
      <c r="Q42" s="137">
        <v>0.99</v>
      </c>
      <c r="R42" s="138"/>
      <c r="S42" s="137">
        <v>0.63</v>
      </c>
      <c r="T42" s="137"/>
      <c r="U42" s="156"/>
      <c r="V42" s="139"/>
      <c r="W42" s="137"/>
      <c r="X42" s="137"/>
      <c r="Y42" s="140">
        <v>150</v>
      </c>
      <c r="Z42" s="137"/>
      <c r="AA42" s="137"/>
      <c r="AB42" s="137"/>
      <c r="AC42" s="120"/>
      <c r="AD42" s="137">
        <v>0.498</v>
      </c>
      <c r="AE42" s="137"/>
      <c r="AF42" s="137"/>
      <c r="AG42" s="137"/>
      <c r="AH42" s="120"/>
      <c r="AI42" s="120"/>
      <c r="AJ42" s="137"/>
      <c r="AK42" s="137"/>
      <c r="AL42" s="137"/>
      <c r="AM42" s="137" t="s">
        <v>340</v>
      </c>
      <c r="AN42" s="120"/>
      <c r="AO42" s="120"/>
      <c r="AP42" s="120"/>
      <c r="AQ42" s="120"/>
      <c r="AR42" s="125"/>
    </row>
    <row r="43" spans="2:50" ht="83.1" customHeight="1" x14ac:dyDescent="0.3">
      <c r="B43" s="87">
        <v>41</v>
      </c>
      <c r="C43" s="136" t="s">
        <v>249</v>
      </c>
      <c r="D43" s="137">
        <v>2017</v>
      </c>
      <c r="E43" s="137" t="s">
        <v>7</v>
      </c>
      <c r="F43" s="137" t="s">
        <v>250</v>
      </c>
      <c r="G43" s="137" t="s">
        <v>265</v>
      </c>
      <c r="H43" s="137" t="s">
        <v>110</v>
      </c>
      <c r="I43" s="137">
        <v>130</v>
      </c>
      <c r="J43" s="137">
        <f>100-81.9</f>
        <v>18.099999999999994</v>
      </c>
      <c r="K43" s="137">
        <v>100</v>
      </c>
      <c r="L43" s="137">
        <v>1.2</v>
      </c>
      <c r="M43" s="137">
        <v>0.89</v>
      </c>
      <c r="N43" s="137" t="s">
        <v>267</v>
      </c>
      <c r="O43" s="137" t="s">
        <v>124</v>
      </c>
      <c r="P43" s="137"/>
      <c r="Q43" s="137"/>
      <c r="R43" s="138">
        <v>4</v>
      </c>
      <c r="S43" s="137"/>
      <c r="T43" s="137"/>
      <c r="U43" s="156">
        <v>4</v>
      </c>
      <c r="V43" s="139">
        <v>34.5</v>
      </c>
      <c r="W43" s="137"/>
      <c r="X43" s="137"/>
      <c r="Y43" s="140">
        <v>6500</v>
      </c>
      <c r="Z43" s="137"/>
      <c r="AA43" s="137"/>
      <c r="AB43" s="137"/>
      <c r="AC43" s="120"/>
      <c r="AD43" s="137">
        <v>0.47899999999999998</v>
      </c>
      <c r="AE43" s="137">
        <f>1.9/64</f>
        <v>2.9687499999999999E-2</v>
      </c>
      <c r="AF43" s="137">
        <v>0.14000000000000001</v>
      </c>
      <c r="AG43" s="137"/>
      <c r="AH43" s="120"/>
      <c r="AI43" s="120"/>
      <c r="AJ43" s="137"/>
      <c r="AK43" s="137"/>
      <c r="AL43" s="137"/>
      <c r="AM43" s="137" t="s">
        <v>340</v>
      </c>
      <c r="AN43" s="120"/>
      <c r="AO43" s="120"/>
      <c r="AP43" s="120"/>
      <c r="AQ43" s="120"/>
      <c r="AR43" s="125"/>
    </row>
    <row r="44" spans="2:50" ht="83.1" customHeight="1" x14ac:dyDescent="0.3">
      <c r="B44" s="87">
        <v>42</v>
      </c>
      <c r="C44" s="136" t="s">
        <v>249</v>
      </c>
      <c r="D44" s="137">
        <v>2017</v>
      </c>
      <c r="E44" s="137" t="s">
        <v>7</v>
      </c>
      <c r="F44" s="137" t="s">
        <v>250</v>
      </c>
      <c r="G44" s="137" t="s">
        <v>278</v>
      </c>
      <c r="H44" s="137" t="s">
        <v>110</v>
      </c>
      <c r="I44" s="137">
        <v>130</v>
      </c>
      <c r="J44" s="137">
        <f>100-69.9</f>
        <v>30.099999999999994</v>
      </c>
      <c r="K44" s="137">
        <v>100</v>
      </c>
      <c r="L44" s="137">
        <v>1.2</v>
      </c>
      <c r="M44" s="137">
        <v>0.96</v>
      </c>
      <c r="N44" s="137" t="s">
        <v>267</v>
      </c>
      <c r="O44" s="137" t="s">
        <v>124</v>
      </c>
      <c r="P44" s="137"/>
      <c r="Q44" s="137"/>
      <c r="R44" s="138">
        <v>4</v>
      </c>
      <c r="S44" s="137"/>
      <c r="T44" s="137"/>
      <c r="U44" s="156">
        <v>4</v>
      </c>
      <c r="V44" s="139">
        <v>34.5</v>
      </c>
      <c r="W44" s="137"/>
      <c r="X44" s="137"/>
      <c r="Y44" s="140">
        <v>6500</v>
      </c>
      <c r="Z44" s="137"/>
      <c r="AA44" s="137"/>
      <c r="AB44" s="137"/>
      <c r="AC44" s="120"/>
      <c r="AD44" s="137">
        <v>0.48499999999999999</v>
      </c>
      <c r="AE44" s="137">
        <f>1.6/64</f>
        <v>2.5000000000000001E-2</v>
      </c>
      <c r="AF44" s="137">
        <v>0.15</v>
      </c>
      <c r="AG44" s="137"/>
      <c r="AH44" s="120"/>
      <c r="AI44" s="120"/>
      <c r="AJ44" s="137"/>
      <c r="AK44" s="137"/>
      <c r="AL44" s="137"/>
      <c r="AM44" s="137" t="s">
        <v>340</v>
      </c>
      <c r="AN44" s="120"/>
      <c r="AO44" s="120"/>
      <c r="AP44" s="120"/>
      <c r="AQ44" s="120"/>
      <c r="AR44" s="125"/>
    </row>
    <row r="45" spans="2:50" ht="79.8" customHeight="1" x14ac:dyDescent="0.3">
      <c r="B45" s="87">
        <v>43</v>
      </c>
      <c r="C45" s="136" t="s">
        <v>251</v>
      </c>
      <c r="D45" s="137">
        <v>2017</v>
      </c>
      <c r="E45" s="137" t="s">
        <v>20</v>
      </c>
      <c r="F45" s="137" t="s">
        <v>94</v>
      </c>
      <c r="G45" s="137"/>
      <c r="H45" s="137" t="s">
        <v>128</v>
      </c>
      <c r="I45" s="137">
        <v>14</v>
      </c>
      <c r="J45" s="137">
        <v>5.76</v>
      </c>
      <c r="K45" s="137"/>
      <c r="L45" s="137">
        <v>0.65</v>
      </c>
      <c r="M45" s="137"/>
      <c r="N45" s="141" t="s">
        <v>64</v>
      </c>
      <c r="O45" s="141" t="s">
        <v>63</v>
      </c>
      <c r="P45" s="137"/>
      <c r="Q45" s="137"/>
      <c r="R45" s="138">
        <v>2.4</v>
      </c>
      <c r="S45" s="137">
        <v>5.76</v>
      </c>
      <c r="T45" s="137">
        <v>1.46E-2</v>
      </c>
      <c r="U45" s="156"/>
      <c r="V45" s="139">
        <v>4.0000000000000001E-3</v>
      </c>
      <c r="W45" s="137"/>
      <c r="X45" s="137">
        <v>6144</v>
      </c>
      <c r="Y45" s="140">
        <f>1.84/(0.014^2)</f>
        <v>9387.7551020408155</v>
      </c>
      <c r="Z45" s="137"/>
      <c r="AA45" s="137"/>
      <c r="AB45" s="137"/>
      <c r="AC45" s="120"/>
      <c r="AD45" s="137">
        <v>0.48599999999999999</v>
      </c>
      <c r="AE45" s="137"/>
      <c r="AF45" s="137">
        <v>3.4000000000000002E-2</v>
      </c>
      <c r="AG45" s="137"/>
      <c r="AH45" s="120">
        <f t="shared" ref="AH45" si="12">AD45/AF45</f>
        <v>14.294117647058822</v>
      </c>
      <c r="AI45" s="120"/>
      <c r="AJ45" s="137"/>
      <c r="AK45" s="137">
        <v>0.99992999999999999</v>
      </c>
      <c r="AL45" s="137"/>
      <c r="AM45" s="137" t="s">
        <v>340</v>
      </c>
      <c r="AN45" s="120"/>
      <c r="AO45" s="120"/>
      <c r="AP45" s="120"/>
      <c r="AQ45" s="120"/>
      <c r="AR45" s="125"/>
    </row>
    <row r="46" spans="2:50" ht="69.150000000000006" customHeight="1" x14ac:dyDescent="0.3">
      <c r="B46" s="87">
        <v>44</v>
      </c>
      <c r="C46" s="136" t="s">
        <v>307</v>
      </c>
      <c r="D46" s="137">
        <v>2017</v>
      </c>
      <c r="E46" s="137" t="s">
        <v>2</v>
      </c>
      <c r="F46" s="137" t="s">
        <v>308</v>
      </c>
      <c r="G46" s="137" t="s">
        <v>309</v>
      </c>
      <c r="H46" s="137" t="s">
        <v>110</v>
      </c>
      <c r="I46" s="137">
        <v>130</v>
      </c>
      <c r="J46" s="137"/>
      <c r="K46" s="137"/>
      <c r="L46" s="137">
        <v>1.2</v>
      </c>
      <c r="M46" s="137"/>
      <c r="N46" s="137" t="s">
        <v>310</v>
      </c>
      <c r="O46" s="141" t="s">
        <v>311</v>
      </c>
      <c r="P46" s="137"/>
      <c r="Q46" s="137"/>
      <c r="R46" s="138">
        <v>7</v>
      </c>
      <c r="S46" s="137">
        <v>9</v>
      </c>
      <c r="T46" s="137">
        <v>2.5999999999999999E-2</v>
      </c>
      <c r="U46" s="156">
        <v>6.0000000000000001E-3</v>
      </c>
      <c r="V46" s="139">
        <v>11</v>
      </c>
      <c r="W46" s="137">
        <v>44700</v>
      </c>
      <c r="X46" s="137"/>
      <c r="Y46" s="140"/>
      <c r="Z46" s="137"/>
      <c r="AA46" s="137"/>
      <c r="AB46" s="137"/>
      <c r="AC46" s="120"/>
      <c r="AD46" s="137">
        <v>0.499</v>
      </c>
      <c r="AE46" s="137">
        <v>4.2999999999999997E-2</v>
      </c>
      <c r="AF46" s="137">
        <v>5.8000000000000003E-2</v>
      </c>
      <c r="AG46" s="137">
        <v>3.7999999999999999E-2</v>
      </c>
      <c r="AH46" s="120">
        <f>AD46/AF46</f>
        <v>8.6034482758620694</v>
      </c>
      <c r="AI46" s="120">
        <f>(AD46-3*AE46)/(AF46+3*AG46)</f>
        <v>2.1511627906976747</v>
      </c>
      <c r="AJ46" s="137"/>
      <c r="AK46" s="137"/>
      <c r="AL46" s="137"/>
      <c r="AM46" s="137" t="s">
        <v>341</v>
      </c>
      <c r="AN46" s="126">
        <v>3.7E+19</v>
      </c>
      <c r="AO46" s="120" t="s">
        <v>91</v>
      </c>
      <c r="AP46" s="120" t="s">
        <v>91</v>
      </c>
      <c r="AQ46" s="120"/>
      <c r="AR46" s="125"/>
    </row>
    <row r="47" spans="2:50" ht="102.6" customHeight="1" x14ac:dyDescent="0.3">
      <c r="B47" s="87">
        <v>45</v>
      </c>
      <c r="C47" s="136" t="s">
        <v>286</v>
      </c>
      <c r="D47" s="137">
        <v>2017</v>
      </c>
      <c r="E47" s="137" t="s">
        <v>287</v>
      </c>
      <c r="F47" s="137" t="s">
        <v>104</v>
      </c>
      <c r="G47" s="137"/>
      <c r="H47" s="137" t="s">
        <v>138</v>
      </c>
      <c r="I47" s="137">
        <v>40</v>
      </c>
      <c r="J47" s="137">
        <v>2.5499999999999998</v>
      </c>
      <c r="K47" s="137">
        <v>500</v>
      </c>
      <c r="L47" s="137">
        <v>0.9</v>
      </c>
      <c r="M47" s="137">
        <v>2.8</v>
      </c>
      <c r="N47" s="141" t="s">
        <v>316</v>
      </c>
      <c r="O47" s="137" t="s">
        <v>59</v>
      </c>
      <c r="P47" s="137">
        <v>0.94</v>
      </c>
      <c r="Q47" s="137">
        <v>0.15</v>
      </c>
      <c r="R47" s="138"/>
      <c r="S47" s="137">
        <v>2.8000000000000001E-2</v>
      </c>
      <c r="T47" s="137"/>
      <c r="U47" s="156">
        <v>24000</v>
      </c>
      <c r="V47" s="139">
        <v>1.0200000000000001E-3</v>
      </c>
      <c r="W47" s="137"/>
      <c r="X47" s="137"/>
      <c r="Y47" s="140">
        <f>7.23/(0.04^2)</f>
        <v>4518.75</v>
      </c>
      <c r="Z47" s="137"/>
      <c r="AA47" s="137"/>
      <c r="AB47" s="137"/>
      <c r="AC47" s="120"/>
      <c r="AD47" s="137">
        <v>0.49070000000000003</v>
      </c>
      <c r="AE47" s="137">
        <v>1.12E-2</v>
      </c>
      <c r="AF47" s="137">
        <v>4.8999999999999998E-3</v>
      </c>
      <c r="AG47" s="137">
        <v>8.8999999999999995E-4</v>
      </c>
      <c r="AH47" s="120">
        <f>AD47/AF47</f>
        <v>100.14285714285715</v>
      </c>
      <c r="AI47" s="120">
        <f>(AD47-3*AE47)/(AF47+3*AG47)</f>
        <v>60.383091149273454</v>
      </c>
      <c r="AJ47" s="137"/>
      <c r="AK47" s="137">
        <v>0.99719999999999998</v>
      </c>
      <c r="AL47" s="137">
        <v>7.7999999999999996E-3</v>
      </c>
      <c r="AM47" s="137" t="s">
        <v>340</v>
      </c>
      <c r="AN47" s="120">
        <v>16</v>
      </c>
      <c r="AO47" s="120"/>
      <c r="AP47" s="120"/>
      <c r="AQ47" s="120"/>
      <c r="AR47" s="125"/>
    </row>
    <row r="48" spans="2:50" ht="76.2" customHeight="1" x14ac:dyDescent="0.3">
      <c r="B48" s="87">
        <v>46</v>
      </c>
      <c r="C48" s="4" t="s">
        <v>290</v>
      </c>
      <c r="D48" s="70">
        <v>2018</v>
      </c>
      <c r="E48" s="70" t="s">
        <v>0</v>
      </c>
      <c r="F48" s="70" t="s">
        <v>291</v>
      </c>
      <c r="G48" s="70"/>
      <c r="H48" s="70" t="s">
        <v>110</v>
      </c>
      <c r="I48" s="70">
        <v>55</v>
      </c>
      <c r="J48" s="70"/>
      <c r="K48" s="70"/>
      <c r="L48" s="70">
        <v>1</v>
      </c>
      <c r="M48" s="70"/>
      <c r="N48" s="19" t="s">
        <v>267</v>
      </c>
      <c r="O48" s="19" t="s">
        <v>314</v>
      </c>
      <c r="P48" s="70"/>
      <c r="Q48" s="70"/>
      <c r="R48" s="24"/>
      <c r="S48" s="70">
        <v>0.05</v>
      </c>
      <c r="T48" s="70"/>
      <c r="U48" s="154"/>
      <c r="V48" s="73">
        <v>5.2</v>
      </c>
      <c r="W48" s="70"/>
      <c r="X48" s="70"/>
      <c r="Y48" s="62">
        <f>0.66/(0.055^2)</f>
        <v>218.18181818181819</v>
      </c>
      <c r="Z48" s="70"/>
      <c r="AA48" s="70"/>
      <c r="AB48" s="70"/>
      <c r="AC48" s="68"/>
      <c r="AD48" s="70">
        <v>0.49998999999999999</v>
      </c>
      <c r="AE48" s="70">
        <v>3.1260000000000003E-2</v>
      </c>
      <c r="AF48" s="70">
        <v>0</v>
      </c>
      <c r="AG48" s="70">
        <v>0</v>
      </c>
      <c r="AH48" s="68"/>
      <c r="AI48" s="68"/>
      <c r="AJ48" s="70" t="s">
        <v>34</v>
      </c>
      <c r="AK48" s="70"/>
      <c r="AL48" s="70">
        <v>7.6600000000000001E-3</v>
      </c>
      <c r="AM48" s="70" t="s">
        <v>340</v>
      </c>
      <c r="AN48" s="59"/>
      <c r="AO48" s="59"/>
      <c r="AP48" s="59"/>
      <c r="AQ48" s="68"/>
      <c r="AR48" s="88"/>
    </row>
    <row r="49" spans="2:50" s="11" customFormat="1" ht="84.9" customHeight="1" x14ac:dyDescent="0.3">
      <c r="B49" s="87">
        <v>47</v>
      </c>
      <c r="C49" s="160" t="s">
        <v>292</v>
      </c>
      <c r="D49" s="161">
        <v>2018</v>
      </c>
      <c r="E49" s="161" t="s">
        <v>20</v>
      </c>
      <c r="F49" s="161" t="s">
        <v>195</v>
      </c>
      <c r="G49" s="161"/>
      <c r="H49" s="161" t="s">
        <v>110</v>
      </c>
      <c r="I49" s="161">
        <v>65</v>
      </c>
      <c r="J49" s="161">
        <v>5.39</v>
      </c>
      <c r="K49" s="161"/>
      <c r="L49" s="161">
        <v>1</v>
      </c>
      <c r="M49" s="161"/>
      <c r="N49" s="161" t="s">
        <v>313</v>
      </c>
      <c r="O49" s="162" t="s">
        <v>312</v>
      </c>
      <c r="P49" s="161"/>
      <c r="Q49" s="161">
        <v>1.1000000000000001</v>
      </c>
      <c r="R49" s="163" t="s">
        <v>264</v>
      </c>
      <c r="S49" s="161">
        <v>2.16</v>
      </c>
      <c r="T49" s="161">
        <v>6.1999999999999998E-3</v>
      </c>
      <c r="U49" s="164"/>
      <c r="V49" s="165">
        <v>0.38</v>
      </c>
      <c r="W49" s="161"/>
      <c r="X49" s="161"/>
      <c r="Y49" s="166">
        <v>600</v>
      </c>
      <c r="Z49" s="161"/>
      <c r="AA49" s="161"/>
      <c r="AB49" s="161"/>
      <c r="AC49" s="144"/>
      <c r="AD49" s="161">
        <v>0.502</v>
      </c>
      <c r="AE49" s="161">
        <v>3.4000000000000002E-2</v>
      </c>
      <c r="AF49" s="161">
        <v>1.5100000000000001E-3</v>
      </c>
      <c r="AG49" s="161">
        <v>2.5500000000000002E-3</v>
      </c>
      <c r="AH49" s="68">
        <v>100.02</v>
      </c>
      <c r="AI49" s="68">
        <f>(AD49-3*AE49)/(AF49+3*AG49)</f>
        <v>43.668122270742352</v>
      </c>
      <c r="AJ49" s="161" t="s">
        <v>34</v>
      </c>
      <c r="AK49" s="161"/>
      <c r="AL49" s="161"/>
      <c r="AM49" s="161" t="s">
        <v>340</v>
      </c>
      <c r="AN49" s="144"/>
      <c r="AO49" s="144"/>
      <c r="AP49" s="144"/>
      <c r="AQ49" s="144"/>
      <c r="AR49" s="146"/>
      <c r="AS49" s="67"/>
      <c r="AW49"/>
      <c r="AX49"/>
    </row>
    <row r="50" spans="2:50" ht="87.3" customHeight="1" x14ac:dyDescent="0.3">
      <c r="B50" s="87">
        <v>48</v>
      </c>
      <c r="C50" s="142" t="s">
        <v>293</v>
      </c>
      <c r="D50" s="74">
        <v>2018</v>
      </c>
      <c r="E50" s="74" t="s">
        <v>0</v>
      </c>
      <c r="F50" s="74" t="s">
        <v>294</v>
      </c>
      <c r="G50" s="143" t="s">
        <v>295</v>
      </c>
      <c r="H50" s="74" t="s">
        <v>110</v>
      </c>
      <c r="I50" s="74">
        <v>180</v>
      </c>
      <c r="J50" s="74">
        <v>6.65</v>
      </c>
      <c r="K50" s="74">
        <v>1000</v>
      </c>
      <c r="L50" s="74">
        <v>1.2</v>
      </c>
      <c r="M50" s="74"/>
      <c r="N50" s="74" t="s">
        <v>297</v>
      </c>
      <c r="O50" s="74" t="s">
        <v>124</v>
      </c>
      <c r="P50" s="74"/>
      <c r="Q50" s="74"/>
      <c r="R50" s="143" t="s">
        <v>299</v>
      </c>
      <c r="S50" s="74">
        <v>0.72</v>
      </c>
      <c r="T50" s="74">
        <v>4.0000000000000003E-5</v>
      </c>
      <c r="U50" s="157">
        <v>1.7999999999999999E-2</v>
      </c>
      <c r="V50" s="75">
        <v>9.8000000000000007</v>
      </c>
      <c r="W50" s="74"/>
      <c r="X50" s="74"/>
      <c r="Y50" s="135">
        <v>445</v>
      </c>
      <c r="Z50" s="74"/>
      <c r="AA50" s="74"/>
      <c r="AB50" s="74"/>
      <c r="AC50" s="144"/>
      <c r="AD50" s="74">
        <v>0.49199999999999999</v>
      </c>
      <c r="AE50" s="74"/>
      <c r="AF50" s="74">
        <v>7.1999999999999998E-3</v>
      </c>
      <c r="AG50" s="74"/>
      <c r="AH50" s="68">
        <f t="shared" ref="AH50:AH51" si="13">AD50/AF50</f>
        <v>68.333333333333329</v>
      </c>
      <c r="AI50" s="144"/>
      <c r="AJ50" s="74"/>
      <c r="AK50" s="74"/>
      <c r="AL50" s="74">
        <v>2.2599999999999999E-2</v>
      </c>
      <c r="AM50" s="74" t="s">
        <v>340</v>
      </c>
      <c r="AN50" s="145"/>
      <c r="AO50" s="145"/>
      <c r="AP50" s="145"/>
      <c r="AQ50" s="144"/>
      <c r="AR50" s="146"/>
    </row>
    <row r="51" spans="2:50" ht="87.3" customHeight="1" x14ac:dyDescent="0.3">
      <c r="B51" s="180">
        <v>49</v>
      </c>
      <c r="C51" s="142" t="s">
        <v>293</v>
      </c>
      <c r="D51" s="74">
        <v>2018</v>
      </c>
      <c r="E51" s="74" t="s">
        <v>0</v>
      </c>
      <c r="F51" s="74" t="s">
        <v>294</v>
      </c>
      <c r="G51" s="143" t="s">
        <v>296</v>
      </c>
      <c r="H51" s="74" t="s">
        <v>110</v>
      </c>
      <c r="I51" s="74">
        <v>180</v>
      </c>
      <c r="J51" s="74">
        <v>5.62</v>
      </c>
      <c r="K51" s="74">
        <v>1000</v>
      </c>
      <c r="L51" s="74">
        <v>1.2</v>
      </c>
      <c r="M51" s="74"/>
      <c r="N51" s="74" t="s">
        <v>297</v>
      </c>
      <c r="O51" s="74" t="s">
        <v>124</v>
      </c>
      <c r="P51" s="74"/>
      <c r="Q51" s="74"/>
      <c r="R51" s="143" t="s">
        <v>299</v>
      </c>
      <c r="S51" s="74">
        <v>0.69</v>
      </c>
      <c r="T51" s="74">
        <v>1.9000000000000001E-4</v>
      </c>
      <c r="U51" s="157">
        <v>1.7999999999999999E-2</v>
      </c>
      <c r="V51" s="75">
        <v>3.6</v>
      </c>
      <c r="W51" s="74"/>
      <c r="X51" s="74"/>
      <c r="Y51" s="135">
        <v>890</v>
      </c>
      <c r="Z51" s="74"/>
      <c r="AA51" s="74"/>
      <c r="AB51" s="74"/>
      <c r="AC51" s="144"/>
      <c r="AD51" s="74">
        <v>0.5</v>
      </c>
      <c r="AE51" s="74"/>
      <c r="AF51" s="74">
        <v>6.8999999999999999E-3</v>
      </c>
      <c r="AG51" s="74"/>
      <c r="AH51" s="144">
        <f t="shared" si="13"/>
        <v>72.463768115942031</v>
      </c>
      <c r="AI51" s="144"/>
      <c r="AJ51" s="74"/>
      <c r="AK51" s="74"/>
      <c r="AL51" s="74">
        <v>2.29E-2</v>
      </c>
      <c r="AM51" s="74" t="s">
        <v>340</v>
      </c>
      <c r="AN51" s="145"/>
      <c r="AO51" s="145"/>
      <c r="AP51" s="145"/>
      <c r="AQ51" s="144"/>
      <c r="AR51" s="146"/>
      <c r="AW51" s="11"/>
      <c r="AX51" s="11"/>
    </row>
    <row r="52" spans="2:50" ht="57.6" x14ac:dyDescent="0.3">
      <c r="B52" s="87">
        <v>50</v>
      </c>
      <c r="C52" s="4" t="s">
        <v>320</v>
      </c>
      <c r="D52" s="70">
        <v>2018</v>
      </c>
      <c r="E52" s="70" t="s">
        <v>324</v>
      </c>
      <c r="F52" s="70" t="s">
        <v>134</v>
      </c>
      <c r="G52" s="70" t="s">
        <v>333</v>
      </c>
      <c r="H52" s="70" t="s">
        <v>110</v>
      </c>
      <c r="I52" s="70">
        <v>40</v>
      </c>
      <c r="J52" s="70">
        <v>4.9800000000000004</v>
      </c>
      <c r="K52" s="70">
        <v>5</v>
      </c>
      <c r="L52" s="70">
        <v>1.2</v>
      </c>
      <c r="M52" s="19" t="s">
        <v>331</v>
      </c>
      <c r="N52" s="70" t="s">
        <v>334</v>
      </c>
      <c r="O52" s="169">
        <v>25125</v>
      </c>
      <c r="P52" s="19" t="s">
        <v>331</v>
      </c>
      <c r="Q52" s="19" t="s">
        <v>331</v>
      </c>
      <c r="R52" s="24">
        <v>6</v>
      </c>
      <c r="S52" s="19" t="s">
        <v>331</v>
      </c>
      <c r="T52" s="19" t="s">
        <v>331</v>
      </c>
      <c r="U52" s="170" t="s">
        <v>331</v>
      </c>
      <c r="V52" s="171" t="s">
        <v>331</v>
      </c>
      <c r="W52" s="19" t="s">
        <v>331</v>
      </c>
      <c r="X52" s="70">
        <v>2048</v>
      </c>
      <c r="Y52" s="172" t="s">
        <v>331</v>
      </c>
      <c r="Z52" s="19" t="s">
        <v>331</v>
      </c>
      <c r="AA52" s="19" t="s">
        <v>331</v>
      </c>
      <c r="AB52" s="19" t="s">
        <v>331</v>
      </c>
      <c r="AC52" s="19" t="s">
        <v>331</v>
      </c>
      <c r="AD52" s="70">
        <v>0.52700000000000002</v>
      </c>
      <c r="AE52" s="70"/>
      <c r="AF52" s="70"/>
      <c r="AG52" s="70"/>
      <c r="AH52" s="70"/>
      <c r="AI52" s="66"/>
      <c r="AJ52" s="66"/>
      <c r="AK52" s="66"/>
      <c r="AL52" s="66"/>
      <c r="AM52" s="70" t="s">
        <v>340</v>
      </c>
      <c r="AN52" s="59"/>
      <c r="AO52" s="59"/>
      <c r="AP52" s="59"/>
      <c r="AQ52" s="59"/>
      <c r="AR52" s="89"/>
    </row>
    <row r="53" spans="2:50" ht="101.4" customHeight="1" x14ac:dyDescent="0.3">
      <c r="B53" s="87">
        <v>51</v>
      </c>
      <c r="C53" s="4" t="s">
        <v>321</v>
      </c>
      <c r="D53" s="70">
        <v>2018</v>
      </c>
      <c r="E53" s="70" t="s">
        <v>326</v>
      </c>
      <c r="F53" s="70" t="s">
        <v>328</v>
      </c>
      <c r="G53" s="70" t="s">
        <v>329</v>
      </c>
      <c r="H53" s="70" t="s">
        <v>111</v>
      </c>
      <c r="I53" s="70">
        <v>65</v>
      </c>
      <c r="J53" s="19" t="s">
        <v>331</v>
      </c>
      <c r="K53" s="70">
        <v>128</v>
      </c>
      <c r="L53" s="70">
        <v>0.5</v>
      </c>
      <c r="M53" s="19" t="s">
        <v>331</v>
      </c>
      <c r="N53" s="70" t="s">
        <v>330</v>
      </c>
      <c r="O53" s="19" t="s">
        <v>331</v>
      </c>
      <c r="P53" s="19" t="s">
        <v>331</v>
      </c>
      <c r="Q53" s="19" t="s">
        <v>331</v>
      </c>
      <c r="R53" s="24">
        <v>9</v>
      </c>
      <c r="S53" s="19" t="s">
        <v>331</v>
      </c>
      <c r="T53" s="19" t="s">
        <v>331</v>
      </c>
      <c r="U53" s="170" t="s">
        <v>331</v>
      </c>
      <c r="V53" s="171" t="s">
        <v>331</v>
      </c>
      <c r="W53" s="19" t="s">
        <v>331</v>
      </c>
      <c r="X53" s="70">
        <v>1024</v>
      </c>
      <c r="Y53" s="172" t="s">
        <v>331</v>
      </c>
      <c r="Z53" s="19" t="s">
        <v>331</v>
      </c>
      <c r="AA53" s="19" t="s">
        <v>331</v>
      </c>
      <c r="AB53" s="19" t="s">
        <v>331</v>
      </c>
      <c r="AC53" s="19" t="s">
        <v>331</v>
      </c>
      <c r="AD53" s="70">
        <v>0.33100000000000002</v>
      </c>
      <c r="AE53" s="70">
        <v>6.0299999999999999E-2</v>
      </c>
      <c r="AF53" s="70">
        <v>3.4700000000000002E-2</v>
      </c>
      <c r="AG53" s="70">
        <v>1.67E-2</v>
      </c>
      <c r="AH53" s="68">
        <f>AD53/AF53</f>
        <v>9.5389048991354475</v>
      </c>
      <c r="AI53" s="68">
        <f>(AD53-3*AE53)/(AF53+3*AG53)</f>
        <v>1.7700471698113209</v>
      </c>
      <c r="AJ53" s="173" t="s">
        <v>331</v>
      </c>
      <c r="AK53" s="173" t="s">
        <v>331</v>
      </c>
      <c r="AL53" s="173" t="s">
        <v>331</v>
      </c>
      <c r="AM53" s="19" t="s">
        <v>340</v>
      </c>
      <c r="AN53" s="59"/>
      <c r="AO53" s="59"/>
      <c r="AP53" s="59"/>
      <c r="AQ53" s="59"/>
      <c r="AR53" s="89"/>
    </row>
    <row r="54" spans="2:50" ht="75" customHeight="1" x14ac:dyDescent="0.3">
      <c r="B54" s="87">
        <v>52</v>
      </c>
      <c r="C54" s="4" t="s">
        <v>323</v>
      </c>
      <c r="D54" s="70">
        <v>2018</v>
      </c>
      <c r="E54" s="70" t="s">
        <v>20</v>
      </c>
      <c r="F54" s="70" t="s">
        <v>104</v>
      </c>
      <c r="G54" s="70"/>
      <c r="H54" s="70" t="s">
        <v>138</v>
      </c>
      <c r="I54" s="70">
        <v>40</v>
      </c>
      <c r="J54" s="19">
        <v>2.5499999999999998</v>
      </c>
      <c r="K54" s="70">
        <v>500</v>
      </c>
      <c r="L54" s="70">
        <v>0.9</v>
      </c>
      <c r="M54" s="19">
        <v>2.8</v>
      </c>
      <c r="N54" s="70" t="s">
        <v>316</v>
      </c>
      <c r="O54" s="19" t="s">
        <v>59</v>
      </c>
      <c r="P54" s="19">
        <v>0.94</v>
      </c>
      <c r="Q54" s="19">
        <v>0.15</v>
      </c>
      <c r="R54" s="24"/>
      <c r="S54" s="19">
        <v>3.2</v>
      </c>
      <c r="T54" s="19"/>
      <c r="U54" s="170">
        <v>24000</v>
      </c>
      <c r="V54" s="171">
        <v>1.0200000000000001E-3</v>
      </c>
      <c r="W54" s="19"/>
      <c r="X54" s="70"/>
      <c r="Y54" s="172">
        <v>4518.75</v>
      </c>
      <c r="Z54" s="19"/>
      <c r="AA54" s="19"/>
      <c r="AB54" s="19"/>
      <c r="AC54" s="19"/>
      <c r="AD54" s="70">
        <v>0.49070000000000003</v>
      </c>
      <c r="AE54" s="70">
        <v>1.12E-2</v>
      </c>
      <c r="AF54" s="70">
        <v>4.8999999999999998E-3</v>
      </c>
      <c r="AG54" s="70">
        <v>8.8999999999999995E-4</v>
      </c>
      <c r="AH54" s="68">
        <v>100.14285714285715</v>
      </c>
      <c r="AI54" s="68">
        <v>60.383091149273454</v>
      </c>
      <c r="AJ54" s="19" t="s">
        <v>92</v>
      </c>
      <c r="AK54" s="19">
        <v>0.99719999999999998</v>
      </c>
      <c r="AL54" s="19">
        <v>7.3499999999999998E-3</v>
      </c>
      <c r="AM54" s="19" t="s">
        <v>340</v>
      </c>
      <c r="AN54" s="59">
        <v>16</v>
      </c>
      <c r="AO54" s="59"/>
      <c r="AP54" s="59"/>
      <c r="AQ54" s="59">
        <f>AH54/(V54*ASIC!Y54*ASIC!M54)</f>
        <v>7.7596737173430919</v>
      </c>
      <c r="AR54" s="89">
        <f>AI54/(V54*ASIC!Y54*ASIC!M54)</f>
        <v>4.6788467867912216</v>
      </c>
    </row>
    <row r="55" spans="2:50" ht="75" customHeight="1" x14ac:dyDescent="0.3">
      <c r="B55" s="87">
        <v>53</v>
      </c>
      <c r="C55" s="4" t="s">
        <v>322</v>
      </c>
      <c r="D55" s="70">
        <v>2018</v>
      </c>
      <c r="E55" s="70" t="s">
        <v>20</v>
      </c>
      <c r="F55" s="70" t="s">
        <v>335</v>
      </c>
      <c r="G55" s="70" t="s">
        <v>336</v>
      </c>
      <c r="H55" s="70" t="s">
        <v>110</v>
      </c>
      <c r="I55" s="70">
        <v>65</v>
      </c>
      <c r="J55" s="19">
        <v>4.2699999999999996</v>
      </c>
      <c r="K55" s="70">
        <v>800</v>
      </c>
      <c r="L55" s="70">
        <v>3.15</v>
      </c>
      <c r="M55" s="19"/>
      <c r="N55" s="19" t="s">
        <v>338</v>
      </c>
      <c r="O55" s="19" t="s">
        <v>337</v>
      </c>
      <c r="P55" s="19"/>
      <c r="Q55" s="19"/>
      <c r="R55" s="24">
        <v>7</v>
      </c>
      <c r="S55" s="19">
        <v>0.251</v>
      </c>
      <c r="T55" s="19">
        <v>0.06</v>
      </c>
      <c r="U55" s="170"/>
      <c r="V55" s="171">
        <v>12</v>
      </c>
      <c r="W55" s="19">
        <f>217*256</f>
        <v>55552</v>
      </c>
      <c r="X55" s="70"/>
      <c r="Y55" s="172"/>
      <c r="Z55" s="19"/>
      <c r="AA55" s="19">
        <v>0.498</v>
      </c>
      <c r="AB55" s="19"/>
      <c r="AC55" s="19"/>
      <c r="AD55" s="70">
        <v>0.49809999999999999</v>
      </c>
      <c r="AE55" s="70">
        <v>6.1400000000000003E-2</v>
      </c>
      <c r="AF55" s="70">
        <v>2.5100000000000001E-3</v>
      </c>
      <c r="AG55" s="70">
        <v>5.7000000000000002E-3</v>
      </c>
      <c r="AH55" s="68">
        <f>AD55/AF55</f>
        <v>198.44621513944222</v>
      </c>
      <c r="AI55" s="68">
        <f>(AD55-3*AE55)/(AF55+3*AG55)</f>
        <v>16.007139214686379</v>
      </c>
      <c r="AJ55" s="19" t="s">
        <v>92</v>
      </c>
      <c r="AK55" s="19"/>
      <c r="AL55" s="19"/>
      <c r="AM55" s="19" t="s">
        <v>340</v>
      </c>
      <c r="AN55" s="59">
        <v>200</v>
      </c>
      <c r="AO55" s="59"/>
      <c r="AP55" s="59"/>
      <c r="AQ55" s="59"/>
      <c r="AR55" s="89"/>
    </row>
    <row r="56" spans="2:50" ht="15" thickBot="1" x14ac:dyDescent="0.35">
      <c r="B56" s="181"/>
      <c r="C56" s="117"/>
      <c r="D56" s="91"/>
      <c r="E56" s="91"/>
      <c r="F56" s="91"/>
      <c r="G56" s="91"/>
      <c r="H56" s="91"/>
      <c r="I56" s="91"/>
      <c r="J56" s="91"/>
      <c r="K56" s="91"/>
      <c r="L56" s="91"/>
      <c r="M56" s="91"/>
      <c r="N56" s="91"/>
      <c r="O56" s="91"/>
      <c r="P56" s="91"/>
      <c r="Q56" s="91"/>
      <c r="R56" s="92"/>
      <c r="S56" s="91"/>
      <c r="T56" s="91"/>
      <c r="U56" s="158"/>
      <c r="V56" s="103"/>
      <c r="W56" s="91"/>
      <c r="X56" s="91"/>
      <c r="Y56" s="93"/>
      <c r="Z56" s="91"/>
      <c r="AA56" s="91"/>
      <c r="AB56" s="91"/>
      <c r="AC56" s="108"/>
      <c r="AD56" s="91"/>
      <c r="AE56" s="91"/>
      <c r="AF56" s="91"/>
      <c r="AG56" s="91"/>
      <c r="AH56" s="108"/>
      <c r="AI56" s="108"/>
      <c r="AJ56" s="91"/>
      <c r="AK56" s="91"/>
      <c r="AL56" s="91"/>
      <c r="AM56" s="91"/>
      <c r="AN56" s="94"/>
      <c r="AO56" s="94"/>
      <c r="AP56" s="94"/>
      <c r="AQ56" s="108"/>
      <c r="AR56" s="118"/>
    </row>
    <row r="57" spans="2:50" x14ac:dyDescent="0.3">
      <c r="B57" s="174"/>
      <c r="C57" s="65"/>
      <c r="D57" s="105"/>
      <c r="E57" s="105"/>
      <c r="F57" s="105"/>
      <c r="G57" s="105"/>
      <c r="H57" s="105"/>
      <c r="I57" s="105"/>
      <c r="J57" s="105"/>
      <c r="K57" s="105"/>
      <c r="L57" s="105"/>
      <c r="M57" s="105"/>
      <c r="N57" s="105"/>
      <c r="O57" s="105"/>
      <c r="P57" s="105"/>
      <c r="Q57" s="105"/>
      <c r="R57" s="175"/>
      <c r="S57" s="105"/>
      <c r="T57" s="105"/>
      <c r="U57" s="176"/>
      <c r="V57" s="177"/>
      <c r="W57" s="105"/>
      <c r="X57" s="105"/>
      <c r="Y57" s="178"/>
      <c r="Z57" s="105"/>
      <c r="AA57" s="105"/>
      <c r="AB57" s="105"/>
      <c r="AC57" s="76"/>
      <c r="AD57" s="105"/>
      <c r="AE57" s="105"/>
      <c r="AF57" s="105"/>
      <c r="AG57" s="105"/>
      <c r="AH57" s="76"/>
      <c r="AI57" s="76"/>
      <c r="AJ57" s="105"/>
      <c r="AK57" s="105"/>
      <c r="AL57" s="105"/>
      <c r="AM57" s="105"/>
      <c r="AN57" s="179"/>
      <c r="AO57" s="179"/>
      <c r="AP57" s="179"/>
      <c r="AQ57" s="76"/>
      <c r="AR57" s="76"/>
    </row>
  </sheetData>
  <autoFilter ref="B2:AR2" xr:uid="{0051F59B-D829-4632-AD97-E9278C8C1EE9}"/>
  <sortState xmlns:xlrd2="http://schemas.microsoft.com/office/spreadsheetml/2017/richdata2" ref="AW4:AW31">
    <sortCondition ref="AW4:AW31"/>
  </sortState>
  <mergeCells count="1">
    <mergeCell ref="B1:D1"/>
  </mergeCells>
  <pageMargins left="0.70866141732283472" right="0.70866141732283472" top="0.74803149606299213" bottom="0.74803149606299213" header="0.31496062992125984" footer="0.31496062992125984"/>
  <pageSetup paperSize="9" scale="36" fitToWidth="2" fitToHeight="2" orientation="landscape" horizontalDpi="4294967292"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244"/>
  <sheetViews>
    <sheetView zoomScale="70" zoomScaleNormal="70" workbookViewId="0">
      <selection activeCell="AF17" sqref="AF17"/>
    </sheetView>
  </sheetViews>
  <sheetFormatPr defaultRowHeight="14.4" x14ac:dyDescent="0.3"/>
  <cols>
    <col min="1" max="1" width="13.44140625" customWidth="1"/>
    <col min="2" max="2" width="12.21875" hidden="1" customWidth="1"/>
    <col min="3" max="3" width="12.44140625" hidden="1" customWidth="1"/>
    <col min="4" max="4" width="9.44140625" hidden="1" customWidth="1"/>
    <col min="5" max="7" width="12.77734375" hidden="1" customWidth="1"/>
    <col min="8" max="8" width="8.88671875" hidden="1" customWidth="1"/>
    <col min="9" max="9" width="9.21875" hidden="1" customWidth="1"/>
    <col min="10" max="10" width="12.21875" style="72" hidden="1" customWidth="1"/>
    <col min="11" max="11" width="14.44140625" style="72" customWidth="1"/>
    <col min="12" max="12" width="14.21875" customWidth="1"/>
    <col min="13" max="13" width="13.5546875" customWidth="1"/>
    <col min="14" max="14" width="13.21875" bestFit="1" customWidth="1"/>
    <col min="15" max="15" width="10" bestFit="1" customWidth="1"/>
    <col min="16" max="16" width="13.21875" customWidth="1"/>
    <col min="17" max="17" width="14.109375" customWidth="1"/>
    <col min="19" max="19" width="12.21875" style="69" customWidth="1"/>
    <col min="20" max="20" width="11.77734375" customWidth="1"/>
    <col min="21" max="21" width="0" hidden="1" customWidth="1"/>
    <col min="22" max="22" width="11.77734375" hidden="1" customWidth="1"/>
    <col min="23" max="23" width="12.88671875" style="72" hidden="1" customWidth="1"/>
    <col min="24" max="24" width="11.88671875" style="72" hidden="1" customWidth="1"/>
    <col min="25" max="25" width="10.109375" style="72" hidden="1" customWidth="1"/>
    <col min="26" max="26" width="13.77734375" style="72" hidden="1" customWidth="1"/>
    <col min="27" max="27" width="12.21875" style="72" hidden="1" customWidth="1"/>
    <col min="28" max="28" width="0" hidden="1" customWidth="1"/>
  </cols>
  <sheetData>
    <row r="1" spans="2:27" s="69" customFormat="1" x14ac:dyDescent="0.3">
      <c r="B1" s="70" t="s">
        <v>113</v>
      </c>
      <c r="C1" s="70" t="s">
        <v>110</v>
      </c>
      <c r="D1" s="70" t="s">
        <v>111</v>
      </c>
      <c r="E1" s="70" t="s">
        <v>112</v>
      </c>
      <c r="F1" s="70" t="s">
        <v>128</v>
      </c>
      <c r="G1" s="70" t="s">
        <v>138</v>
      </c>
      <c r="L1" s="74" t="s">
        <v>113</v>
      </c>
      <c r="M1" s="75" t="s">
        <v>110</v>
      </c>
      <c r="N1" s="75" t="s">
        <v>111</v>
      </c>
      <c r="O1" s="74" t="s">
        <v>112</v>
      </c>
      <c r="P1" s="69" t="s">
        <v>128</v>
      </c>
      <c r="Q1" s="69" t="s">
        <v>138</v>
      </c>
      <c r="S1" s="69" t="s">
        <v>240</v>
      </c>
      <c r="V1" s="74" t="s">
        <v>113</v>
      </c>
      <c r="W1" s="75" t="s">
        <v>110</v>
      </c>
      <c r="X1" s="75" t="s">
        <v>111</v>
      </c>
      <c r="Y1" s="75" t="s">
        <v>112</v>
      </c>
      <c r="Z1" s="104" t="s">
        <v>128</v>
      </c>
      <c r="AA1" s="104" t="s">
        <v>138</v>
      </c>
    </row>
    <row r="2" spans="2:27" x14ac:dyDescent="0.3">
      <c r="B2" s="68">
        <f>ASIC!D3</f>
        <v>2000</v>
      </c>
      <c r="C2" s="66">
        <f>IF(ASIC!$H3=$C$1,ASIC!$Y3)</f>
        <v>1708.1632653061226</v>
      </c>
      <c r="D2" s="66" t="b">
        <f>IF(ASIC!$H3=$D$1,ASIC!$Y3)</f>
        <v>0</v>
      </c>
      <c r="E2" s="66" t="b">
        <f>IF(ASIC!$H3=$E$1,ASIC!$Y3)</f>
        <v>0</v>
      </c>
      <c r="F2" s="66" t="b">
        <f>IF(ASIC!$H3=$F$1,ASIC!$Y3)</f>
        <v>0</v>
      </c>
      <c r="G2" s="66" t="b">
        <f>IF(ASIC!$H3=$G$1,ASIC!$Y3)</f>
        <v>0</v>
      </c>
      <c r="J2"/>
      <c r="K2"/>
      <c r="L2" s="70">
        <f>ASIC!D3</f>
        <v>2000</v>
      </c>
      <c r="M2" s="62">
        <v>1708.1632653061226</v>
      </c>
      <c r="N2" s="62"/>
      <c r="O2" s="62"/>
      <c r="P2" s="62"/>
      <c r="Q2" s="62"/>
      <c r="R2" s="70">
        <v>2000</v>
      </c>
      <c r="S2" s="63">
        <f>SUM(M2:Q2)</f>
        <v>1708.1632653061226</v>
      </c>
      <c r="T2" s="63"/>
      <c r="V2" s="70">
        <f>ASIC!D3</f>
        <v>2000</v>
      </c>
      <c r="W2" s="73">
        <f>IF(ASIC!H3=Data!W$1,ASIC!Y3)</f>
        <v>1708.1632653061226</v>
      </c>
      <c r="X2" s="73" t="b">
        <f>IF(ASIC!H3=Data!X$1,ASIC!Y3)</f>
        <v>0</v>
      </c>
      <c r="Y2" s="73" t="b">
        <f>IF(ASIC!H3=Data!Y$1,ASIC!Y3)</f>
        <v>0</v>
      </c>
      <c r="Z2" s="73" t="b">
        <f>IF(ASIC!H3=Data!Z$1,ASIC!Y3)</f>
        <v>0</v>
      </c>
      <c r="AA2" s="73" t="b">
        <f>IF(ASIC!H3=Data!AA$1,ASIC!Y3)</f>
        <v>0</v>
      </c>
    </row>
    <row r="3" spans="2:27" x14ac:dyDescent="0.3">
      <c r="B3" s="68">
        <f>ASIC!D4</f>
        <v>2004</v>
      </c>
      <c r="C3" s="66" t="b">
        <f>IF(ASIC!$H4=$C$1,ASIC!$Y4)</f>
        <v>0</v>
      </c>
      <c r="D3" s="66">
        <f>IF(ASIC!$H4=$D$1,ASIC!$Y4)</f>
        <v>708402.77777777787</v>
      </c>
      <c r="E3" s="66" t="b">
        <f>IF(ASIC!$H4=$E$1,ASIC!$Y4)</f>
        <v>0</v>
      </c>
      <c r="F3" s="66" t="b">
        <f>IF(ASIC!$H4=$F$1,ASIC!$Y4)</f>
        <v>0</v>
      </c>
      <c r="G3" s="66" t="b">
        <f>IF(ASIC!$H4=$G$1,ASIC!$Y4)</f>
        <v>0</v>
      </c>
      <c r="J3"/>
      <c r="K3"/>
      <c r="L3" s="70">
        <f>ASIC!D4</f>
        <v>2004</v>
      </c>
      <c r="M3" s="62"/>
      <c r="N3" s="62">
        <v>708402.77777777787</v>
      </c>
      <c r="O3" s="62"/>
      <c r="P3" s="62"/>
      <c r="Q3" s="62"/>
      <c r="R3" s="70">
        <v>2004</v>
      </c>
      <c r="S3" s="63">
        <f t="shared" ref="S3:S53" si="0">SUM(M3:Q3)</f>
        <v>708402.77777777787</v>
      </c>
      <c r="T3" s="63"/>
      <c r="V3" s="70">
        <f>ASIC!D4</f>
        <v>2004</v>
      </c>
      <c r="W3" s="73" t="b">
        <f>IF(ASIC!H4=Data!W$1,ASIC!Y4)</f>
        <v>0</v>
      </c>
      <c r="X3" s="73">
        <f>IF(ASIC!H4=Data!X$1,ASIC!Y4)</f>
        <v>708402.77777777787</v>
      </c>
      <c r="Y3" s="73" t="b">
        <f>IF(ASIC!H4=Data!Y$1,ASIC!Y4)</f>
        <v>0</v>
      </c>
      <c r="Z3" s="73" t="b">
        <f>IF(ASIC!H4=Data!Z$1,ASIC!Y4)</f>
        <v>0</v>
      </c>
      <c r="AA3" s="73" t="b">
        <f>IF(ASIC!H4=Data!AA$1,ASIC!Y4)</f>
        <v>0</v>
      </c>
    </row>
    <row r="4" spans="2:27" x14ac:dyDescent="0.3">
      <c r="B4" s="68">
        <f>ASIC!D5</f>
        <v>2005</v>
      </c>
      <c r="C4" s="66" t="b">
        <f>IF(ASIC!$H5=$C$1,ASIC!$Y5)</f>
        <v>0</v>
      </c>
      <c r="D4" s="66">
        <f>IF(ASIC!$H5=$D$1,ASIC!$Y5)</f>
        <v>708402.77777777787</v>
      </c>
      <c r="E4" s="66" t="b">
        <f>IF(ASIC!$H5=$E$1,ASIC!$Y5)</f>
        <v>0</v>
      </c>
      <c r="F4" s="66" t="b">
        <f>IF(ASIC!$H5=$F$1,ASIC!$Y5)</f>
        <v>0</v>
      </c>
      <c r="G4" s="66" t="b">
        <f>IF(ASIC!$H5=$G$1,ASIC!$Y5)</f>
        <v>0</v>
      </c>
      <c r="J4"/>
      <c r="K4"/>
      <c r="L4" s="70">
        <f>ASIC!D5</f>
        <v>2005</v>
      </c>
      <c r="M4" s="62"/>
      <c r="N4" s="62">
        <v>708402.77777777787</v>
      </c>
      <c r="O4" s="62"/>
      <c r="P4" s="62"/>
      <c r="Q4" s="62"/>
      <c r="R4" s="70">
        <v>2005</v>
      </c>
      <c r="S4" s="63">
        <f t="shared" si="0"/>
        <v>708402.77777777787</v>
      </c>
      <c r="T4" s="63"/>
      <c r="V4" s="70">
        <f>ASIC!D5</f>
        <v>2005</v>
      </c>
      <c r="W4" s="73" t="b">
        <f>IF(ASIC!H5=Data!W$1,ASIC!Y5)</f>
        <v>0</v>
      </c>
      <c r="X4" s="73">
        <f>IF(ASIC!H5=Data!X$1,ASIC!Y5)</f>
        <v>708402.77777777787</v>
      </c>
      <c r="Y4" s="73" t="b">
        <f>IF(ASIC!H5=Data!Y$1,ASIC!Y5)</f>
        <v>0</v>
      </c>
      <c r="Z4" s="73" t="b">
        <f>IF(ASIC!H5=Data!Z$1,ASIC!Y5)</f>
        <v>0</v>
      </c>
      <c r="AA4" s="73" t="b">
        <f>IF(ASIC!H5=Data!AA$1,ASIC!Y5)</f>
        <v>0</v>
      </c>
    </row>
    <row r="5" spans="2:27" x14ac:dyDescent="0.3">
      <c r="B5" s="68">
        <f>ASIC!D6</f>
        <v>2007</v>
      </c>
      <c r="C5" s="66" t="b">
        <f>IF(ASIC!$H6=$C$1,ASIC!$Y6)</f>
        <v>0</v>
      </c>
      <c r="D5" s="66" t="b">
        <f>IF(ASIC!$H6=$D$1,ASIC!$Y6)</f>
        <v>0</v>
      </c>
      <c r="E5" s="66">
        <f>IF(ASIC!$H6=$E$1,ASIC!$Y6)</f>
        <v>3106.5088757396447</v>
      </c>
      <c r="F5" s="66" t="b">
        <f>IF(ASIC!$H6=$F$1,ASIC!$Y6)</f>
        <v>0</v>
      </c>
      <c r="G5" s="66" t="b">
        <f>IF(ASIC!$H6=$G$1,ASIC!$Y6)</f>
        <v>0</v>
      </c>
      <c r="J5"/>
      <c r="K5"/>
      <c r="L5" s="70">
        <f>ASIC!D6</f>
        <v>2007</v>
      </c>
      <c r="M5" s="62"/>
      <c r="N5" s="62"/>
      <c r="O5" s="62">
        <v>3106.5088757396447</v>
      </c>
      <c r="P5" s="62"/>
      <c r="Q5" s="62"/>
      <c r="R5" s="70">
        <v>2007</v>
      </c>
      <c r="S5" s="63">
        <f t="shared" si="0"/>
        <v>3106.5088757396447</v>
      </c>
      <c r="T5" s="63"/>
      <c r="V5" s="70">
        <f>ASIC!D6</f>
        <v>2007</v>
      </c>
      <c r="W5" s="73" t="b">
        <f>IF(ASIC!H6=Data!W$1,ASIC!Y6)</f>
        <v>0</v>
      </c>
      <c r="X5" s="73" t="b">
        <f>IF(ASIC!H6=Data!X$1,ASIC!Y6)</f>
        <v>0</v>
      </c>
      <c r="Y5" s="73">
        <f>IF(ASIC!H6=Data!Y$1,ASIC!Y6)</f>
        <v>3106.5088757396447</v>
      </c>
      <c r="Z5" s="73" t="b">
        <f>IF(ASIC!H6=Data!Z$1,ASIC!Y6)</f>
        <v>0</v>
      </c>
      <c r="AA5" s="73" t="b">
        <f>IF(ASIC!H6=Data!AA$1,ASIC!Y6)</f>
        <v>0</v>
      </c>
    </row>
    <row r="6" spans="2:27" x14ac:dyDescent="0.3">
      <c r="B6" s="68">
        <f>ASIC!D7</f>
        <v>2008</v>
      </c>
      <c r="C6" s="66" t="b">
        <f>IF(ASIC!$H7=$C$1,ASIC!$Y7)</f>
        <v>0</v>
      </c>
      <c r="D6" s="66" t="b">
        <f>IF(ASIC!$H7=$D$1,ASIC!$Y7)</f>
        <v>0</v>
      </c>
      <c r="E6" s="66">
        <f>IF(ASIC!$H7=$E$1,ASIC!$Y7)</f>
        <v>1092</v>
      </c>
      <c r="F6" s="66" t="b">
        <f>IF(ASIC!$H7=$F$1,ASIC!$Y7)</f>
        <v>0</v>
      </c>
      <c r="G6" s="66" t="b">
        <f>IF(ASIC!$H7=$G$1,ASIC!$Y7)</f>
        <v>0</v>
      </c>
      <c r="J6"/>
      <c r="K6"/>
      <c r="L6" s="70">
        <f>ASIC!D7</f>
        <v>2008</v>
      </c>
      <c r="M6" s="62"/>
      <c r="N6" s="62"/>
      <c r="O6" s="62">
        <v>1092</v>
      </c>
      <c r="P6" s="62"/>
      <c r="Q6" s="62"/>
      <c r="R6" s="70">
        <v>2008</v>
      </c>
      <c r="S6" s="63">
        <f t="shared" si="0"/>
        <v>1092</v>
      </c>
      <c r="T6" s="63"/>
      <c r="V6" s="70">
        <f>ASIC!D7</f>
        <v>2008</v>
      </c>
      <c r="W6" s="73" t="b">
        <f>IF(ASIC!H7=Data!W$1,ASIC!Y7)</f>
        <v>0</v>
      </c>
      <c r="X6" s="73" t="b">
        <f>IF(ASIC!H7=Data!X$1,ASIC!Y7)</f>
        <v>0</v>
      </c>
      <c r="Y6" s="73">
        <f>IF(ASIC!H7=Data!Y$1,ASIC!Y7)</f>
        <v>1092</v>
      </c>
      <c r="Z6" s="73" t="b">
        <f>IF(ASIC!H7=Data!Z$1,ASIC!Y7)</f>
        <v>0</v>
      </c>
      <c r="AA6" s="73" t="b">
        <f>IF(ASIC!H7=Data!AA$1,ASIC!Y7)</f>
        <v>0</v>
      </c>
    </row>
    <row r="7" spans="2:27" x14ac:dyDescent="0.3">
      <c r="B7" s="68">
        <f>ASIC!D8</f>
        <v>2008</v>
      </c>
      <c r="C7" s="66" t="b">
        <f>IF(ASIC!$H8=$C$1,ASIC!$Y8)</f>
        <v>0</v>
      </c>
      <c r="D7" s="66" t="b">
        <f>IF(ASIC!$H8=$D$1,ASIC!$Y8)</f>
        <v>0</v>
      </c>
      <c r="E7" s="66">
        <f>IF(ASIC!$H8=$E$1,ASIC!$Y8)</f>
        <v>1092</v>
      </c>
      <c r="F7" s="66" t="b">
        <f>IF(ASIC!$H8=$F$1,ASIC!$Y8)</f>
        <v>0</v>
      </c>
      <c r="G7" s="66" t="b">
        <f>IF(ASIC!$H8=$G$1,ASIC!$Y8)</f>
        <v>0</v>
      </c>
      <c r="J7"/>
      <c r="K7"/>
      <c r="L7" s="70">
        <f>ASIC!D8</f>
        <v>2008</v>
      </c>
      <c r="M7" s="62"/>
      <c r="N7" s="62"/>
      <c r="O7" s="62">
        <v>1092</v>
      </c>
      <c r="P7" s="62"/>
      <c r="Q7" s="62"/>
      <c r="R7" s="70">
        <v>2008</v>
      </c>
      <c r="S7" s="63">
        <f t="shared" si="0"/>
        <v>1092</v>
      </c>
      <c r="T7" s="63"/>
      <c r="V7" s="70">
        <f>ASIC!D8</f>
        <v>2008</v>
      </c>
      <c r="W7" s="73" t="b">
        <f>IF(ASIC!H8=Data!W$1,ASIC!Y8)</f>
        <v>0</v>
      </c>
      <c r="X7" s="73" t="b">
        <f>IF(ASIC!H8=Data!X$1,ASIC!Y8)</f>
        <v>0</v>
      </c>
      <c r="Y7" s="73">
        <f>IF(ASIC!H8=Data!Y$1,ASIC!Y8)</f>
        <v>1092</v>
      </c>
      <c r="Z7" s="73" t="b">
        <f>IF(ASIC!H8=Data!Z$1,ASIC!Y8)</f>
        <v>0</v>
      </c>
      <c r="AA7" s="73" t="b">
        <f>IF(ASIC!H8=Data!AA$1,ASIC!Y8)</f>
        <v>0</v>
      </c>
    </row>
    <row r="8" spans="2:27" x14ac:dyDescent="0.3">
      <c r="B8" s="68">
        <f>ASIC!D9</f>
        <v>2008</v>
      </c>
      <c r="C8" s="66">
        <f>IF(ASIC!$H9=$C$1,ASIC!$Y9)</f>
        <v>4340.2777777777783</v>
      </c>
      <c r="D8" s="66" t="b">
        <f>IF(ASIC!$H9=$D$1,ASIC!$Y9)</f>
        <v>0</v>
      </c>
      <c r="E8" s="66" t="b">
        <f>IF(ASIC!$H9=$E$1,ASIC!$Y9)</f>
        <v>0</v>
      </c>
      <c r="F8" s="66" t="b">
        <f>IF(ASIC!$H9=$F$1,ASIC!$Y9)</f>
        <v>0</v>
      </c>
      <c r="G8" s="66" t="b">
        <f>IF(ASIC!$H9=$G$1,ASIC!$Y9)</f>
        <v>0</v>
      </c>
      <c r="J8"/>
      <c r="K8"/>
      <c r="L8" s="70">
        <f>ASIC!D9</f>
        <v>2008</v>
      </c>
      <c r="M8" s="62">
        <v>4340.2777777777783</v>
      </c>
      <c r="N8" s="62"/>
      <c r="O8" s="62"/>
      <c r="P8" s="62"/>
      <c r="Q8" s="62"/>
      <c r="R8" s="70">
        <v>2008</v>
      </c>
      <c r="S8" s="63">
        <f t="shared" si="0"/>
        <v>4340.2777777777783</v>
      </c>
      <c r="T8" s="63"/>
      <c r="V8" s="70">
        <f>ASIC!D9</f>
        <v>2008</v>
      </c>
      <c r="W8" s="73">
        <f>IF(ASIC!H9=Data!W$1,ASIC!Y9)</f>
        <v>4340.2777777777783</v>
      </c>
      <c r="X8" s="73" t="b">
        <f>IF(ASIC!H9=Data!X$1,ASIC!Y9)</f>
        <v>0</v>
      </c>
      <c r="Y8" s="73" t="b">
        <f>IF(ASIC!H9=Data!Y$1,ASIC!Y9)</f>
        <v>0</v>
      </c>
      <c r="Z8" s="73" t="b">
        <f>IF(ASIC!H9=Data!Z$1,ASIC!Y9)</f>
        <v>0</v>
      </c>
      <c r="AA8" s="73" t="b">
        <f>IF(ASIC!H9=Data!AA$1,ASIC!Y9)</f>
        <v>0</v>
      </c>
    </row>
    <row r="9" spans="2:27" x14ac:dyDescent="0.3">
      <c r="B9" s="68">
        <f>ASIC!D10</f>
        <v>2009</v>
      </c>
      <c r="C9" s="66">
        <f>IF(ASIC!$H10=$C$1,ASIC!$Y10)</f>
        <v>1055.8328510802469</v>
      </c>
      <c r="D9" s="66" t="b">
        <f>IF(ASIC!$H10=$D$1,ASIC!$Y10)</f>
        <v>0</v>
      </c>
      <c r="E9" s="66" t="b">
        <f>IF(ASIC!$H10=$E$1,ASIC!$Y10)</f>
        <v>0</v>
      </c>
      <c r="F9" s="66" t="b">
        <f>IF(ASIC!$H10=$F$1,ASIC!$Y10)</f>
        <v>0</v>
      </c>
      <c r="G9" s="66" t="b">
        <f>IF(ASIC!$H10=$G$1,ASIC!$Y10)</f>
        <v>0</v>
      </c>
      <c r="J9"/>
      <c r="K9"/>
      <c r="L9" s="70">
        <f>ASIC!D10</f>
        <v>2009</v>
      </c>
      <c r="M9" s="62">
        <v>1055.8328510802469</v>
      </c>
      <c r="N9" s="62"/>
      <c r="O9" s="62"/>
      <c r="P9" s="62"/>
      <c r="Q9" s="62"/>
      <c r="R9" s="70">
        <v>2009</v>
      </c>
      <c r="S9" s="63">
        <f t="shared" si="0"/>
        <v>1055.8328510802469</v>
      </c>
      <c r="T9" s="63"/>
      <c r="V9" s="70">
        <f>ASIC!D10</f>
        <v>2009</v>
      </c>
      <c r="W9" s="73">
        <f>IF(ASIC!H10=Data!W$1,ASIC!Y10)</f>
        <v>1055.8328510802469</v>
      </c>
      <c r="X9" s="73" t="b">
        <f>IF(ASIC!H10=Data!X$1,ASIC!Y10)</f>
        <v>0</v>
      </c>
      <c r="Y9" s="73" t="b">
        <f>IF(ASIC!H10=Data!Y$1,ASIC!Y10)</f>
        <v>0</v>
      </c>
      <c r="Z9" s="73" t="b">
        <f>IF(ASIC!H10=Data!Z$1,ASIC!Y10)</f>
        <v>0</v>
      </c>
      <c r="AA9" s="73" t="b">
        <f>IF(ASIC!H10=Data!AA$1,ASIC!Y10)</f>
        <v>0</v>
      </c>
    </row>
    <row r="10" spans="2:27" x14ac:dyDescent="0.3">
      <c r="B10" s="68">
        <f>ASIC!D11</f>
        <v>2010</v>
      </c>
      <c r="C10" s="66">
        <f>IF(ASIC!$H11=$C$1,ASIC!$Y11)</f>
        <v>710.05917159763305</v>
      </c>
      <c r="D10" s="66" t="b">
        <f>IF(ASIC!$H11=$D$1,ASIC!$Y11)</f>
        <v>0</v>
      </c>
      <c r="E10" s="66" t="b">
        <f>IF(ASIC!$H11=$E$1,ASIC!$Y11)</f>
        <v>0</v>
      </c>
      <c r="F10" s="66" t="b">
        <f>IF(ASIC!$H11=$F$1,ASIC!$Y11)</f>
        <v>0</v>
      </c>
      <c r="G10" s="66" t="b">
        <f>IF(ASIC!$H11=$G$1,ASIC!$Y11)</f>
        <v>0</v>
      </c>
      <c r="J10"/>
      <c r="K10"/>
      <c r="L10" s="70">
        <f>ASIC!D11</f>
        <v>2010</v>
      </c>
      <c r="M10" s="62">
        <v>710.05917159763305</v>
      </c>
      <c r="N10" s="62"/>
      <c r="O10" s="62"/>
      <c r="P10" s="62"/>
      <c r="Q10" s="62"/>
      <c r="R10" s="70">
        <v>2010</v>
      </c>
      <c r="S10" s="63">
        <f t="shared" si="0"/>
        <v>710.05917159763305</v>
      </c>
      <c r="T10" s="63"/>
      <c r="V10" s="70">
        <f>ASIC!D11</f>
        <v>2010</v>
      </c>
      <c r="W10" s="73">
        <f>IF(ASIC!H11=Data!W$1,ASIC!Y11)</f>
        <v>710.05917159763305</v>
      </c>
      <c r="X10" s="73" t="b">
        <f>IF(ASIC!H11=Data!X$1,ASIC!Y11)</f>
        <v>0</v>
      </c>
      <c r="Y10" s="73" t="b">
        <f>IF(ASIC!H11=Data!Y$1,ASIC!Y11)</f>
        <v>0</v>
      </c>
      <c r="Z10" s="73" t="b">
        <f>IF(ASIC!H11=Data!Z$1,ASIC!Y11)</f>
        <v>0</v>
      </c>
      <c r="AA10" s="73" t="b">
        <f>IF(ASIC!H11=Data!AA$1,ASIC!Y11)</f>
        <v>0</v>
      </c>
    </row>
    <row r="11" spans="2:27" x14ac:dyDescent="0.3">
      <c r="B11" s="68">
        <f>ASIC!D12</f>
        <v>2011</v>
      </c>
      <c r="C11" s="66" t="b">
        <f>IF(ASIC!$H12=$C$1,ASIC!$Y12)</f>
        <v>0</v>
      </c>
      <c r="D11" s="66" t="b">
        <f>IF(ASIC!$H12=$D$1,ASIC!$Y12)</f>
        <v>0</v>
      </c>
      <c r="E11" s="66" t="str">
        <f>IF(ASIC!$H12=$E$1,ASIC!$Y12)</f>
        <v>N/A</v>
      </c>
      <c r="F11" s="66" t="b">
        <f>IF(ASIC!$H12=$F$1,ASIC!$Y12)</f>
        <v>0</v>
      </c>
      <c r="G11" s="66" t="b">
        <f>IF(ASIC!$H12=$G$1,ASIC!$Y12)</f>
        <v>0</v>
      </c>
      <c r="J11"/>
      <c r="K11"/>
      <c r="L11" s="70">
        <f>ASIC!D12</f>
        <v>2011</v>
      </c>
      <c r="M11" s="62"/>
      <c r="N11" s="62"/>
      <c r="O11" s="62"/>
      <c r="P11" s="62"/>
      <c r="Q11" s="62"/>
      <c r="R11" s="70">
        <v>2011</v>
      </c>
      <c r="S11" s="63"/>
      <c r="T11" s="63"/>
      <c r="V11" s="70">
        <f>ASIC!D12</f>
        <v>2011</v>
      </c>
      <c r="W11" s="73" t="b">
        <f>IF(ASIC!H12=Data!W$1,ASIC!Y12)</f>
        <v>0</v>
      </c>
      <c r="X11" s="73" t="b">
        <f>IF(ASIC!H12=Data!X$1,ASIC!Y12)</f>
        <v>0</v>
      </c>
      <c r="Y11" s="73" t="str">
        <f>IF(ASIC!H12=Data!Y$1,ASIC!Y12)</f>
        <v>N/A</v>
      </c>
      <c r="Z11" s="73" t="b">
        <f>IF(ASIC!H12=Data!Z$1,ASIC!Y12)</f>
        <v>0</v>
      </c>
      <c r="AA11" s="73" t="b">
        <f>IF(ASIC!H12=Data!AA$1,ASIC!Y12)</f>
        <v>0</v>
      </c>
    </row>
    <row r="12" spans="2:27" x14ac:dyDescent="0.3">
      <c r="B12" s="68">
        <f>ASIC!D13</f>
        <v>2011</v>
      </c>
      <c r="C12" s="66">
        <f>IF(ASIC!$H13=$C$1,ASIC!$Y13)</f>
        <v>1055.8328510802469</v>
      </c>
      <c r="D12" s="66" t="b">
        <f>IF(ASIC!$H13=$D$1,ASIC!$Y13)</f>
        <v>0</v>
      </c>
      <c r="E12" s="66" t="b">
        <f>IF(ASIC!$H13=$E$1,ASIC!$Y13)</f>
        <v>0</v>
      </c>
      <c r="F12" s="66" t="b">
        <f>IF(ASIC!$H13=$F$1,ASIC!$Y13)</f>
        <v>0</v>
      </c>
      <c r="G12" s="66" t="b">
        <f>IF(ASIC!$H13=$G$1,ASIC!$Y13)</f>
        <v>0</v>
      </c>
      <c r="J12"/>
      <c r="K12"/>
      <c r="L12" s="70">
        <f>ASIC!D13</f>
        <v>2011</v>
      </c>
      <c r="M12" s="62">
        <v>1055.8328510802469</v>
      </c>
      <c r="N12" s="62"/>
      <c r="O12" s="62"/>
      <c r="P12" s="62"/>
      <c r="Q12" s="62"/>
      <c r="R12" s="70">
        <v>2011</v>
      </c>
      <c r="S12" s="63">
        <f t="shared" si="0"/>
        <v>1055.8328510802469</v>
      </c>
      <c r="T12" s="63"/>
      <c r="V12" s="70">
        <f>ASIC!D13</f>
        <v>2011</v>
      </c>
      <c r="W12" s="73">
        <f>IF(ASIC!H13=Data!W$1,ASIC!Y13)</f>
        <v>1055.8328510802469</v>
      </c>
      <c r="X12" s="73" t="b">
        <f>IF(ASIC!H13=Data!X$1,ASIC!Y13)</f>
        <v>0</v>
      </c>
      <c r="Y12" s="73" t="b">
        <f>IF(ASIC!H13=Data!Y$1,ASIC!Y13)</f>
        <v>0</v>
      </c>
      <c r="Z12" s="73" t="b">
        <f>IF(ASIC!H13=Data!Z$1,ASIC!Y13)</f>
        <v>0</v>
      </c>
      <c r="AA12" s="73" t="b">
        <f>IF(ASIC!H13=Data!AA$1,ASIC!Y13)</f>
        <v>0</v>
      </c>
    </row>
    <row r="13" spans="2:27" x14ac:dyDescent="0.3">
      <c r="B13" s="68">
        <f>ASIC!D14</f>
        <v>2011</v>
      </c>
      <c r="C13" s="66" t="b">
        <f>IF(ASIC!$H14=$C$1,ASIC!$Y14)</f>
        <v>0</v>
      </c>
      <c r="D13" s="66" t="b">
        <f>IF(ASIC!$H14=$D$1,ASIC!$Y14)</f>
        <v>0</v>
      </c>
      <c r="E13" s="66" t="b">
        <f>IF(ASIC!$H14=$E$1,ASIC!$Y14)</f>
        <v>0</v>
      </c>
      <c r="F13" s="66">
        <f>IF(ASIC!$H14=$F$1,ASIC!$Y14)</f>
        <v>0</v>
      </c>
      <c r="G13" s="66" t="b">
        <f>IF(ASIC!$H14=$G$1,ASIC!$Y14)</f>
        <v>0</v>
      </c>
      <c r="J13"/>
      <c r="K13"/>
      <c r="L13" s="70">
        <f>ASIC!D14</f>
        <v>2011</v>
      </c>
      <c r="M13" s="62"/>
      <c r="N13" s="62"/>
      <c r="P13" s="62"/>
      <c r="Q13" s="62"/>
      <c r="R13" s="70">
        <v>2011</v>
      </c>
      <c r="S13" s="63"/>
      <c r="T13" s="63"/>
      <c r="V13" s="70">
        <f>ASIC!D14</f>
        <v>2011</v>
      </c>
      <c r="W13" s="73" t="b">
        <f>IF(ASIC!H14=Data!W$1,ASIC!Y14)</f>
        <v>0</v>
      </c>
      <c r="X13" s="73" t="b">
        <f>IF(ASIC!H14=Data!X$1,ASIC!Y14)</f>
        <v>0</v>
      </c>
      <c r="Y13" s="73" t="b">
        <f>IF(ASIC!H14=Data!Y$1,ASIC!Y14)</f>
        <v>0</v>
      </c>
      <c r="Z13" s="73">
        <f>IF(ASIC!H14=Data!Z$1,ASIC!Y14)</f>
        <v>0</v>
      </c>
      <c r="AA13" s="73" t="b">
        <f>IF(ASIC!H14=Data!AA$1,ASIC!Y14)</f>
        <v>0</v>
      </c>
    </row>
    <row r="14" spans="2:27" x14ac:dyDescent="0.3">
      <c r="B14" s="68">
        <f>ASIC!D15</f>
        <v>2012</v>
      </c>
      <c r="C14" s="66" t="b">
        <f>IF(ASIC!$H15=$C$1,ASIC!$Y15)</f>
        <v>0</v>
      </c>
      <c r="D14" s="66" t="b">
        <f>IF(ASIC!$H15=$D$1,ASIC!$Y15)</f>
        <v>0</v>
      </c>
      <c r="E14" s="66" t="str">
        <f>IF(ASIC!$H15=$E$1,ASIC!$Y15)</f>
        <v>N/A</v>
      </c>
      <c r="F14" s="66" t="b">
        <f>IF(ASIC!$H15=$F$1,ASIC!$Y15)</f>
        <v>0</v>
      </c>
      <c r="G14" s="66" t="b">
        <f>IF(ASIC!$H15=$G$1,ASIC!$Y15)</f>
        <v>0</v>
      </c>
      <c r="J14"/>
      <c r="K14"/>
      <c r="L14" s="70">
        <f>ASIC!D15</f>
        <v>2012</v>
      </c>
      <c r="M14" s="62"/>
      <c r="N14" s="62"/>
      <c r="O14" s="62"/>
      <c r="P14" s="62"/>
      <c r="Q14" s="62"/>
      <c r="R14" s="70">
        <v>2012</v>
      </c>
      <c r="S14" s="63"/>
      <c r="T14" s="63"/>
      <c r="V14" s="70">
        <f>ASIC!D15</f>
        <v>2012</v>
      </c>
      <c r="W14" s="73" t="b">
        <f>IF(ASIC!H15=Data!W$1,ASIC!Y15)</f>
        <v>0</v>
      </c>
      <c r="X14" s="73" t="b">
        <f>IF(ASIC!H15=Data!X$1,ASIC!Y15)</f>
        <v>0</v>
      </c>
      <c r="Y14" s="73" t="str">
        <f>IF(ASIC!H15=Data!Y$1,ASIC!Y15)</f>
        <v>N/A</v>
      </c>
      <c r="Z14" s="73" t="b">
        <f>IF(ASIC!H15=Data!Z$1,ASIC!Y15)</f>
        <v>0</v>
      </c>
      <c r="AA14" s="73" t="b">
        <f>IF(ASIC!H15=Data!AA$1,ASIC!Y15)</f>
        <v>0</v>
      </c>
    </row>
    <row r="15" spans="2:27" x14ac:dyDescent="0.3">
      <c r="B15" s="68">
        <f>ASIC!D16</f>
        <v>2012</v>
      </c>
      <c r="C15" s="66" t="b">
        <f>IF(ASIC!$H16=$C$1,ASIC!$Y16)</f>
        <v>0</v>
      </c>
      <c r="D15" s="66" t="b">
        <f>IF(ASIC!$H16=$D$1,ASIC!$Y16)</f>
        <v>0</v>
      </c>
      <c r="E15" s="66">
        <f>IF(ASIC!$H16=$E$1,ASIC!$Y16)</f>
        <v>192.31491540310648</v>
      </c>
      <c r="F15" s="66" t="b">
        <f>IF(ASIC!$H16=$F$1,ASIC!$Y16)</f>
        <v>0</v>
      </c>
      <c r="G15" s="66" t="b">
        <f>IF(ASIC!$H16=$G$1,ASIC!$Y16)</f>
        <v>0</v>
      </c>
      <c r="J15"/>
      <c r="K15"/>
      <c r="L15" s="70">
        <f>ASIC!D16</f>
        <v>2012</v>
      </c>
      <c r="M15" s="62"/>
      <c r="N15" s="62"/>
      <c r="O15" s="62">
        <v>192.31491540310648</v>
      </c>
      <c r="P15" s="62"/>
      <c r="Q15" s="62"/>
      <c r="R15" s="70">
        <v>2012</v>
      </c>
      <c r="S15" s="63">
        <f t="shared" si="0"/>
        <v>192.31491540310648</v>
      </c>
      <c r="T15" s="63"/>
      <c r="V15" s="70">
        <f>ASIC!D16</f>
        <v>2012</v>
      </c>
      <c r="W15" s="73" t="b">
        <f>IF(ASIC!H16=Data!W$1,ASIC!Y16)</f>
        <v>0</v>
      </c>
      <c r="X15" s="73" t="b">
        <f>IF(ASIC!H16=Data!X$1,ASIC!Y16)</f>
        <v>0</v>
      </c>
      <c r="Y15" s="73">
        <f>IF(ASIC!H16=Data!Y$1,ASIC!Y16)</f>
        <v>192.31491540310648</v>
      </c>
      <c r="Z15" s="73" t="b">
        <f>IF(ASIC!H16=Data!Z$1,ASIC!Y16)</f>
        <v>0</v>
      </c>
      <c r="AA15" s="73" t="b">
        <f>IF(ASIC!H16=Data!AA$1,ASIC!Y16)</f>
        <v>0</v>
      </c>
    </row>
    <row r="16" spans="2:27" x14ac:dyDescent="0.3">
      <c r="B16" s="68">
        <f>ASIC!D17</f>
        <v>2012</v>
      </c>
      <c r="C16" s="66" t="b">
        <f>IF(ASIC!$H17=$C$1,ASIC!$Y17)</f>
        <v>0</v>
      </c>
      <c r="D16" s="66">
        <f>IF(ASIC!$H17=$D$1,ASIC!$Y17)</f>
        <v>4062.2233611331126</v>
      </c>
      <c r="E16" s="66" t="b">
        <f>IF(ASIC!$H17=$E$1,ASIC!$Y17)</f>
        <v>0</v>
      </c>
      <c r="F16" s="66" t="b">
        <f>IF(ASIC!$H17=$F$1,ASIC!$Y17)</f>
        <v>0</v>
      </c>
      <c r="G16" s="66" t="b">
        <f>IF(ASIC!$H17=$G$1,ASIC!$Y17)</f>
        <v>0</v>
      </c>
      <c r="J16"/>
      <c r="K16"/>
      <c r="L16" s="70">
        <f>ASIC!D17</f>
        <v>2012</v>
      </c>
      <c r="M16" s="62"/>
      <c r="N16" s="62">
        <v>4062.2233611331126</v>
      </c>
      <c r="O16" s="62"/>
      <c r="P16" s="62"/>
      <c r="Q16" s="62"/>
      <c r="R16" s="70">
        <v>2012</v>
      </c>
      <c r="S16" s="63">
        <f t="shared" si="0"/>
        <v>4062.2233611331126</v>
      </c>
      <c r="T16" s="63"/>
      <c r="V16" s="70">
        <f>ASIC!D17</f>
        <v>2012</v>
      </c>
      <c r="W16" s="73" t="b">
        <f>IF(ASIC!H17=Data!W$1,ASIC!Y17)</f>
        <v>0</v>
      </c>
      <c r="X16" s="73">
        <f>IF(ASIC!H17=Data!X$1,ASIC!Y17)</f>
        <v>4062.2233611331126</v>
      </c>
      <c r="Y16" s="73" t="b">
        <f>IF(ASIC!H17=Data!Y$1,ASIC!Y17)</f>
        <v>0</v>
      </c>
      <c r="Z16" s="73" t="b">
        <f>IF(ASIC!H17=Data!Z$1,ASIC!Y17)</f>
        <v>0</v>
      </c>
      <c r="AA16" s="73" t="b">
        <f>IF(ASIC!H17=Data!AA$1,ASIC!Y17)</f>
        <v>0</v>
      </c>
    </row>
    <row r="17" spans="1:27" x14ac:dyDescent="0.3">
      <c r="B17" s="68">
        <f>ASIC!D18</f>
        <v>2012</v>
      </c>
      <c r="C17" s="66" t="b">
        <f>IF(ASIC!$H18=$C$1,ASIC!$Y18)</f>
        <v>0</v>
      </c>
      <c r="D17" s="66" t="b">
        <f>IF(ASIC!$H18=$D$1,ASIC!$Y18)</f>
        <v>0</v>
      </c>
      <c r="E17" s="66">
        <f>IF(ASIC!$H18=$E$1,ASIC!$Y18)</f>
        <v>1964.6819526627216</v>
      </c>
      <c r="F17" s="66" t="b">
        <f>IF(ASIC!$H18=$F$1,ASIC!$Y18)</f>
        <v>0</v>
      </c>
      <c r="G17" s="66" t="b">
        <f>IF(ASIC!$H18=$G$1,ASIC!$Y18)</f>
        <v>0</v>
      </c>
      <c r="J17"/>
      <c r="K17"/>
      <c r="L17" s="70">
        <f>ASIC!D18</f>
        <v>2012</v>
      </c>
      <c r="M17" s="62"/>
      <c r="N17" s="62"/>
      <c r="O17" s="62">
        <v>1964.6819526627216</v>
      </c>
      <c r="P17" s="62"/>
      <c r="Q17" s="62"/>
      <c r="R17" s="70">
        <v>2012</v>
      </c>
      <c r="S17" s="63">
        <f t="shared" si="0"/>
        <v>1964.6819526627216</v>
      </c>
      <c r="T17" s="63"/>
      <c r="V17" s="70">
        <f>ASIC!D18</f>
        <v>2012</v>
      </c>
      <c r="W17" s="73" t="b">
        <f>IF(ASIC!H18=Data!W$1,ASIC!Y18)</f>
        <v>0</v>
      </c>
      <c r="X17" s="73" t="b">
        <f>IF(ASIC!H18=Data!X$1,ASIC!Y18)</f>
        <v>0</v>
      </c>
      <c r="Y17" s="73">
        <f>IF(ASIC!H18=Data!Y$1,ASIC!Y18)</f>
        <v>1964.6819526627216</v>
      </c>
      <c r="Z17" s="73" t="b">
        <f>IF(ASIC!H18=Data!Z$1,ASIC!Y18)</f>
        <v>0</v>
      </c>
      <c r="AA17" s="73" t="b">
        <f>IF(ASIC!H18=Data!AA$1,ASIC!Y18)</f>
        <v>0</v>
      </c>
    </row>
    <row r="18" spans="1:27" x14ac:dyDescent="0.3">
      <c r="B18" s="68">
        <f>ASIC!D19</f>
        <v>2012</v>
      </c>
      <c r="C18" s="66" t="b">
        <f>IF(ASIC!$H19=$C$1,ASIC!$Y19)</f>
        <v>0</v>
      </c>
      <c r="D18" s="66" t="b">
        <f>IF(ASIC!$H19=$D$1,ASIC!$Y19)</f>
        <v>0</v>
      </c>
      <c r="E18" s="66">
        <f>IF(ASIC!$H19=$E$1,ASIC!$Y19)</f>
        <v>2831.4534023668634</v>
      </c>
      <c r="F18" s="66" t="b">
        <f>IF(ASIC!$H19=$F$1,ASIC!$Y19)</f>
        <v>0</v>
      </c>
      <c r="G18" s="66" t="b">
        <f>IF(ASIC!$H19=$G$1,ASIC!$Y19)</f>
        <v>0</v>
      </c>
      <c r="J18"/>
      <c r="K18"/>
      <c r="L18" s="70">
        <f>ASIC!D19</f>
        <v>2012</v>
      </c>
      <c r="M18" s="62"/>
      <c r="N18" s="62"/>
      <c r="O18" s="62">
        <v>2831.4534023668634</v>
      </c>
      <c r="P18" s="62"/>
      <c r="Q18" s="62"/>
      <c r="R18" s="70">
        <v>2012</v>
      </c>
      <c r="S18" s="63">
        <f t="shared" si="0"/>
        <v>2831.4534023668634</v>
      </c>
      <c r="T18" s="63"/>
      <c r="V18" s="70">
        <f>ASIC!D19</f>
        <v>2012</v>
      </c>
      <c r="W18" s="73" t="b">
        <f>IF(ASIC!H19=Data!W$1,ASIC!Y19)</f>
        <v>0</v>
      </c>
      <c r="X18" s="73" t="b">
        <f>IF(ASIC!H19=Data!X$1,ASIC!Y19)</f>
        <v>0</v>
      </c>
      <c r="Y18" s="73">
        <f>IF(ASIC!H19=Data!Y$1,ASIC!Y19)</f>
        <v>2831.4534023668634</v>
      </c>
      <c r="Z18" s="73" t="b">
        <f>IF(ASIC!H19=Data!Z$1,ASIC!Y19)</f>
        <v>0</v>
      </c>
      <c r="AA18" s="73" t="b">
        <f>IF(ASIC!H19=Data!AA$1,ASIC!Y19)</f>
        <v>0</v>
      </c>
    </row>
    <row r="19" spans="1:27" x14ac:dyDescent="0.3">
      <c r="B19" s="68">
        <f>ASIC!D20</f>
        <v>2012</v>
      </c>
      <c r="C19" s="66" t="b">
        <f>IF(ASIC!$H20=$C$1,ASIC!$Y20)</f>
        <v>0</v>
      </c>
      <c r="D19" s="66" t="b">
        <f>IF(ASIC!$H20=$D$1,ASIC!$Y20)</f>
        <v>0</v>
      </c>
      <c r="E19" s="66">
        <f>IF(ASIC!$H20=$E$1,ASIC!$Y20)</f>
        <v>1097.9105029585799</v>
      </c>
      <c r="F19" s="66" t="b">
        <f>IF(ASIC!$H20=$F$1,ASIC!$Y20)</f>
        <v>0</v>
      </c>
      <c r="G19" s="66" t="b">
        <f>IF(ASIC!$H20=$G$1,ASIC!$Y20)</f>
        <v>0</v>
      </c>
      <c r="J19"/>
      <c r="K19"/>
      <c r="L19" s="70">
        <f>ASIC!D20</f>
        <v>2012</v>
      </c>
      <c r="M19" s="62"/>
      <c r="N19" s="62"/>
      <c r="O19" s="62">
        <v>1097.9105029585799</v>
      </c>
      <c r="P19" s="62"/>
      <c r="Q19" s="62"/>
      <c r="R19" s="70">
        <v>2012</v>
      </c>
      <c r="S19" s="63">
        <f t="shared" si="0"/>
        <v>1097.9105029585799</v>
      </c>
      <c r="T19" s="63"/>
      <c r="V19" s="70">
        <f>ASIC!D20</f>
        <v>2012</v>
      </c>
      <c r="W19" s="73" t="b">
        <f>IF(ASIC!H20=Data!W$1,ASIC!Y20)</f>
        <v>0</v>
      </c>
      <c r="X19" s="73" t="b">
        <f>IF(ASIC!H20=Data!X$1,ASIC!Y20)</f>
        <v>0</v>
      </c>
      <c r="Y19" s="73">
        <f>IF(ASIC!H20=Data!Y$1,ASIC!Y20)</f>
        <v>1097.9105029585799</v>
      </c>
      <c r="Z19" s="73" t="b">
        <f>IF(ASIC!H20=Data!Z$1,ASIC!Y20)</f>
        <v>0</v>
      </c>
      <c r="AA19" s="73" t="b">
        <f>IF(ASIC!H20=Data!AA$1,ASIC!Y20)</f>
        <v>0</v>
      </c>
    </row>
    <row r="20" spans="1:27" x14ac:dyDescent="0.3">
      <c r="B20" s="68">
        <f>ASIC!D21</f>
        <v>2012</v>
      </c>
      <c r="C20" s="66" t="b">
        <f>IF(ASIC!$H21=$C$1,ASIC!$Y21)</f>
        <v>0</v>
      </c>
      <c r="D20" s="66">
        <f>IF(ASIC!$H21=$D$1,ASIC!$Y21)</f>
        <v>14854.536489151873</v>
      </c>
      <c r="E20" s="66" t="b">
        <f>IF(ASIC!$H21=$E$1,ASIC!$Y21)</f>
        <v>0</v>
      </c>
      <c r="F20" s="66" t="b">
        <f>IF(ASIC!$H21=$F$1,ASIC!$Y21)</f>
        <v>0</v>
      </c>
      <c r="G20" s="66" t="b">
        <f>IF(ASIC!$H21=$G$1,ASIC!$Y21)</f>
        <v>0</v>
      </c>
      <c r="J20"/>
      <c r="K20"/>
      <c r="L20" s="70">
        <f>ASIC!D21</f>
        <v>2012</v>
      </c>
      <c r="M20" s="62"/>
      <c r="N20" s="62">
        <v>14854.536489151873</v>
      </c>
      <c r="O20" s="62"/>
      <c r="P20" s="62"/>
      <c r="Q20" s="62"/>
      <c r="R20" s="70">
        <v>2012</v>
      </c>
      <c r="S20" s="63">
        <f t="shared" si="0"/>
        <v>14854.536489151873</v>
      </c>
      <c r="T20" s="63"/>
      <c r="V20" s="70">
        <f>ASIC!D21</f>
        <v>2012</v>
      </c>
      <c r="W20" s="73" t="b">
        <f>IF(ASIC!H21=Data!W$1,ASIC!Y21)</f>
        <v>0</v>
      </c>
      <c r="X20" s="73">
        <f>IF(ASIC!H21=Data!X$1,ASIC!Y21)</f>
        <v>14854.536489151873</v>
      </c>
      <c r="Y20" s="73" t="b">
        <f>IF(ASIC!H21=Data!Y$1,ASIC!Y21)</f>
        <v>0</v>
      </c>
      <c r="Z20" s="73" t="b">
        <f>IF(ASIC!H21=Data!Z$1,ASIC!Y21)</f>
        <v>0</v>
      </c>
      <c r="AA20" s="73" t="b">
        <f>IF(ASIC!H21=Data!AA$1,ASIC!Y21)</f>
        <v>0</v>
      </c>
    </row>
    <row r="21" spans="1:27" x14ac:dyDescent="0.3">
      <c r="B21" s="68">
        <f>ASIC!D22</f>
        <v>2012</v>
      </c>
      <c r="C21" s="66" t="b">
        <f>IF(ASIC!$H22=$C$1,ASIC!$Y22)</f>
        <v>0</v>
      </c>
      <c r="D21" s="66" t="b">
        <f>IF(ASIC!$H22=$D$1,ASIC!$Y22)</f>
        <v>0</v>
      </c>
      <c r="E21" s="66">
        <f>IF(ASIC!$H22=$E$1,ASIC!$Y22)</f>
        <v>2384.185791015625</v>
      </c>
      <c r="F21" s="66" t="b">
        <f>IF(ASIC!$H22=$F$1,ASIC!$Y22)</f>
        <v>0</v>
      </c>
      <c r="G21" s="66" t="b">
        <f>IF(ASIC!$H22=$G$1,ASIC!$Y22)</f>
        <v>0</v>
      </c>
      <c r="J21"/>
      <c r="K21"/>
      <c r="L21" s="70">
        <f>ASIC!D22</f>
        <v>2012</v>
      </c>
      <c r="M21" s="62"/>
      <c r="N21" s="62"/>
      <c r="O21" s="62">
        <v>2384.185791015625</v>
      </c>
      <c r="P21" s="62"/>
      <c r="Q21" s="62"/>
      <c r="R21" s="70">
        <v>2012</v>
      </c>
      <c r="S21" s="63">
        <f t="shared" si="0"/>
        <v>2384.185791015625</v>
      </c>
      <c r="T21" s="63"/>
      <c r="V21" s="70">
        <f>ASIC!D22</f>
        <v>2012</v>
      </c>
      <c r="W21" s="73" t="b">
        <f>IF(ASIC!H22=Data!W$1,ASIC!Y22)</f>
        <v>0</v>
      </c>
      <c r="X21" s="73" t="b">
        <f>IF(ASIC!H22=Data!X$1,ASIC!Y22)</f>
        <v>0</v>
      </c>
      <c r="Y21" s="73">
        <f>IF(ASIC!H22=Data!Y$1,ASIC!Y22)</f>
        <v>2384.185791015625</v>
      </c>
      <c r="Z21" s="73" t="b">
        <f>IF(ASIC!H22=Data!Z$1,ASIC!Y22)</f>
        <v>0</v>
      </c>
      <c r="AA21" s="73" t="b">
        <f>IF(ASIC!H22=Data!AA$1,ASIC!Y22)</f>
        <v>0</v>
      </c>
    </row>
    <row r="22" spans="1:27" x14ac:dyDescent="0.3">
      <c r="A22" s="8"/>
      <c r="B22" s="68">
        <f>ASIC!D23</f>
        <v>2013</v>
      </c>
      <c r="C22" s="66" t="b">
        <f>IF(ASIC!$H23=$C$1,ASIC!$Y23)</f>
        <v>0</v>
      </c>
      <c r="D22" s="66" t="b">
        <f>IF(ASIC!$H23=$D$1,ASIC!$Y23)</f>
        <v>0</v>
      </c>
      <c r="E22" s="66">
        <f>IF(ASIC!$H23=$E$1,ASIC!$Y23)</f>
        <v>38.0859375</v>
      </c>
      <c r="F22" s="66" t="b">
        <f>IF(ASIC!$H23=$F$1,ASIC!$Y23)</f>
        <v>0</v>
      </c>
      <c r="G22" s="66" t="b">
        <f>IF(ASIC!$H23=$G$1,ASIC!$Y23)</f>
        <v>0</v>
      </c>
      <c r="J22"/>
      <c r="K22"/>
      <c r="L22" s="70">
        <f>ASIC!D23</f>
        <v>2013</v>
      </c>
      <c r="M22" s="62"/>
      <c r="N22" s="62"/>
      <c r="O22" s="62">
        <v>38.0859375</v>
      </c>
      <c r="P22" s="62"/>
      <c r="Q22" s="62"/>
      <c r="R22" s="70">
        <v>2013</v>
      </c>
      <c r="S22" s="63">
        <f t="shared" si="0"/>
        <v>38.0859375</v>
      </c>
      <c r="T22" s="63"/>
      <c r="V22" s="70">
        <f>ASIC!D23</f>
        <v>2013</v>
      </c>
      <c r="W22" s="73" t="b">
        <f>IF(ASIC!H23=Data!W$1,ASIC!Y23)</f>
        <v>0</v>
      </c>
      <c r="X22" s="73" t="b">
        <f>IF(ASIC!H23=Data!X$1,ASIC!Y23)</f>
        <v>0</v>
      </c>
      <c r="Y22" s="73">
        <f>IF(ASIC!H23=Data!Y$1,ASIC!Y23)</f>
        <v>38.0859375</v>
      </c>
      <c r="Z22" s="73" t="b">
        <f>IF(ASIC!H23=Data!Z$1,ASIC!Y23)</f>
        <v>0</v>
      </c>
      <c r="AA22" s="73" t="b">
        <f>IF(ASIC!H23=Data!AA$1,ASIC!Y23)</f>
        <v>0</v>
      </c>
    </row>
    <row r="23" spans="1:27" x14ac:dyDescent="0.3">
      <c r="A23" s="34"/>
      <c r="B23" s="68">
        <f>ASIC!D24</f>
        <v>2014</v>
      </c>
      <c r="C23" s="66">
        <f>IF(ASIC!$H24=$C$1,ASIC!$Y24)</f>
        <v>560.5122041420118</v>
      </c>
      <c r="D23" s="66" t="b">
        <f>IF(ASIC!$H24=$D$1,ASIC!$Y24)</f>
        <v>0</v>
      </c>
      <c r="E23" s="66" t="b">
        <f>IF(ASIC!$H24=$E$1,ASIC!$Y24)</f>
        <v>0</v>
      </c>
      <c r="F23" s="66" t="b">
        <f>IF(ASIC!$H24=$F$1,ASIC!$Y24)</f>
        <v>0</v>
      </c>
      <c r="G23" s="66" t="b">
        <f>IF(ASIC!$H24=$G$1,ASIC!$Y24)</f>
        <v>0</v>
      </c>
      <c r="J23"/>
      <c r="K23"/>
      <c r="L23" s="70">
        <f>ASIC!D24</f>
        <v>2014</v>
      </c>
      <c r="M23" s="62">
        <v>560.5122041420118</v>
      </c>
      <c r="N23" s="62"/>
      <c r="O23" s="62"/>
      <c r="P23" s="62"/>
      <c r="Q23" s="62"/>
      <c r="R23" s="70">
        <v>2014</v>
      </c>
      <c r="S23" s="63">
        <f t="shared" si="0"/>
        <v>560.5122041420118</v>
      </c>
      <c r="T23" s="63"/>
      <c r="V23" s="70">
        <f>ASIC!D24</f>
        <v>2014</v>
      </c>
      <c r="W23" s="73">
        <f>IF(ASIC!H24=Data!W$1,ASIC!Y24)</f>
        <v>560.5122041420118</v>
      </c>
      <c r="X23" s="73" t="b">
        <f>IF(ASIC!H24=Data!X$1,ASIC!Y24)</f>
        <v>0</v>
      </c>
      <c r="Y23" s="73" t="b">
        <f>IF(ASIC!H24=Data!Y$1,ASIC!Y24)</f>
        <v>0</v>
      </c>
      <c r="Z23" s="73" t="b">
        <f>IF(ASIC!H24=Data!Z$1,ASIC!Y24)</f>
        <v>0</v>
      </c>
      <c r="AA23" s="73" t="b">
        <f>IF(ASIC!H24=Data!AA$1,ASIC!Y24)</f>
        <v>0</v>
      </c>
    </row>
    <row r="24" spans="1:27" x14ac:dyDescent="0.3">
      <c r="A24" s="64"/>
      <c r="B24" s="68">
        <f>ASIC!D25</f>
        <v>2014</v>
      </c>
      <c r="C24" s="66" t="b">
        <f>IF(ASIC!$H25=$C$1,ASIC!$Y25)</f>
        <v>0</v>
      </c>
      <c r="D24" s="66" t="b">
        <f>IF(ASIC!$H25=$D$1,ASIC!$Y25)</f>
        <v>0</v>
      </c>
      <c r="E24" s="66" t="b">
        <f>IF(ASIC!$H25=$E$1,ASIC!$Y25)</f>
        <v>0</v>
      </c>
      <c r="F24" s="66">
        <f>IF(ASIC!$H25=$F$1,ASIC!$Y25)</f>
        <v>9632.2314049586785</v>
      </c>
      <c r="G24" s="66" t="b">
        <f>IF(ASIC!$H25=$G$1,ASIC!$Y25)</f>
        <v>0</v>
      </c>
      <c r="J24"/>
      <c r="K24"/>
      <c r="L24" s="70">
        <f>ASIC!D25</f>
        <v>2014</v>
      </c>
      <c r="M24" s="62"/>
      <c r="N24" s="62"/>
      <c r="O24" s="62"/>
      <c r="P24" s="62">
        <v>9632.2314049586785</v>
      </c>
      <c r="Q24" s="62"/>
      <c r="R24" s="70">
        <v>2014</v>
      </c>
      <c r="S24" s="63">
        <f t="shared" si="0"/>
        <v>9632.2314049586785</v>
      </c>
      <c r="T24" s="63"/>
      <c r="V24" s="70">
        <f>ASIC!D25</f>
        <v>2014</v>
      </c>
      <c r="W24" s="73" t="b">
        <f>IF(ASIC!H25=Data!W$1,ASIC!Y25)</f>
        <v>0</v>
      </c>
      <c r="X24" s="73" t="b">
        <f>IF(ASIC!H25=Data!X$1,ASIC!Y25)</f>
        <v>0</v>
      </c>
      <c r="Y24" s="73" t="b">
        <f>IF(ASIC!H25=Data!Y$1,ASIC!Y25)</f>
        <v>0</v>
      </c>
      <c r="Z24" s="73">
        <f>IF(ASIC!H25=Data!Z$1,ASIC!Y25)</f>
        <v>9632.2314049586785</v>
      </c>
      <c r="AA24" s="73" t="b">
        <f>IF(ASIC!H25=Data!AA$1,ASIC!Y25)</f>
        <v>0</v>
      </c>
    </row>
    <row r="25" spans="1:27" x14ac:dyDescent="0.3">
      <c r="A25" s="64"/>
      <c r="B25" s="68">
        <f>ASIC!D26</f>
        <v>2014</v>
      </c>
      <c r="C25" s="66" t="b">
        <f>IF(ASIC!$H26=$C$1,ASIC!$Y26)</f>
        <v>0</v>
      </c>
      <c r="D25" s="66" t="b">
        <f>IF(ASIC!$H26=$D$1,ASIC!$Y26)</f>
        <v>0</v>
      </c>
      <c r="E25" s="66" t="b">
        <f>IF(ASIC!$H26=$E$1,ASIC!$Y26)</f>
        <v>0</v>
      </c>
      <c r="F25" s="66">
        <f>IF(ASIC!$H26=$F$1,ASIC!$Y26)</f>
        <v>56675.502232142855</v>
      </c>
      <c r="G25" s="66" t="b">
        <f>IF(ASIC!$H26=$G$1,ASIC!$Y26)</f>
        <v>0</v>
      </c>
      <c r="J25"/>
      <c r="K25"/>
      <c r="L25" s="70">
        <f>ASIC!D26</f>
        <v>2014</v>
      </c>
      <c r="M25" s="62"/>
      <c r="N25" s="62"/>
      <c r="O25" s="62"/>
      <c r="P25" s="62">
        <v>56675.502232142855</v>
      </c>
      <c r="Q25" s="62"/>
      <c r="R25" s="70">
        <v>2014</v>
      </c>
      <c r="S25" s="63">
        <f t="shared" si="0"/>
        <v>56675.502232142855</v>
      </c>
      <c r="T25" s="63"/>
      <c r="V25" s="70">
        <f>ASIC!D26</f>
        <v>2014</v>
      </c>
      <c r="W25" s="73" t="b">
        <f>IF(ASIC!H26=Data!W$1,ASIC!Y26)</f>
        <v>0</v>
      </c>
      <c r="X25" s="73" t="b">
        <f>IF(ASIC!H26=Data!X$1,ASIC!Y26)</f>
        <v>0</v>
      </c>
      <c r="Y25" s="73" t="b">
        <f>IF(ASIC!H26=Data!Y$1,ASIC!Y26)</f>
        <v>0</v>
      </c>
      <c r="Z25" s="73">
        <f>IF(ASIC!H26=Data!Z$1,ASIC!Y26)</f>
        <v>56675.502232142855</v>
      </c>
      <c r="AA25" s="73" t="b">
        <f>IF(ASIC!H26=Data!AA$1,ASIC!Y26)</f>
        <v>0</v>
      </c>
    </row>
    <row r="26" spans="1:27" x14ac:dyDescent="0.3">
      <c r="A26" s="64"/>
      <c r="B26" s="68">
        <f>ASIC!D27</f>
        <v>2014</v>
      </c>
      <c r="C26" s="66">
        <f>IF(ASIC!$H27=$C$1,ASIC!$Y27)</f>
        <v>1052794.1645408163</v>
      </c>
      <c r="D26" s="66" t="b">
        <f>IF(ASIC!$H27=$D$1,ASIC!$Y27)</f>
        <v>0</v>
      </c>
      <c r="E26" s="66" t="b">
        <f>IF(ASIC!$H27=$E$1,ASIC!$Y27)</f>
        <v>0</v>
      </c>
      <c r="F26" s="66" t="b">
        <f>IF(ASIC!$H27=$F$1,ASIC!$Y27)</f>
        <v>0</v>
      </c>
      <c r="G26" s="66" t="b">
        <f>IF(ASIC!$H27=$G$1,ASIC!$Y27)</f>
        <v>0</v>
      </c>
      <c r="J26"/>
      <c r="K26"/>
      <c r="L26" s="70">
        <f>ASIC!D27</f>
        <v>2014</v>
      </c>
      <c r="M26" s="62">
        <v>1052794.1645408163</v>
      </c>
      <c r="N26" s="62"/>
      <c r="O26" s="62"/>
      <c r="P26" s="62"/>
      <c r="Q26" s="62"/>
      <c r="R26" s="70">
        <v>2014</v>
      </c>
      <c r="S26" s="63">
        <f t="shared" si="0"/>
        <v>1052794.1645408163</v>
      </c>
      <c r="T26" s="63"/>
      <c r="V26" s="70">
        <f>ASIC!D27</f>
        <v>2014</v>
      </c>
      <c r="W26" s="73">
        <f>IF(ASIC!H27=Data!W$1,ASIC!Y27)</f>
        <v>1052794.1645408163</v>
      </c>
      <c r="X26" s="73" t="b">
        <f>IF(ASIC!H27=Data!X$1,ASIC!Y27)</f>
        <v>0</v>
      </c>
      <c r="Y26" s="73" t="b">
        <f>IF(ASIC!H27=Data!Y$1,ASIC!Y27)</f>
        <v>0</v>
      </c>
      <c r="Z26" s="73" t="b">
        <f>IF(ASIC!H27=Data!Z$1,ASIC!Y27)</f>
        <v>0</v>
      </c>
      <c r="AA26" s="73" t="b">
        <f>IF(ASIC!H27=Data!AA$1,ASIC!Y27)</f>
        <v>0</v>
      </c>
    </row>
    <row r="27" spans="1:27" x14ac:dyDescent="0.3">
      <c r="A27" s="64"/>
      <c r="B27" s="68">
        <f>ASIC!D28</f>
        <v>2015</v>
      </c>
      <c r="C27" s="66" t="b">
        <f>IF(ASIC!$H28=$C$1,ASIC!$Y28)</f>
        <v>0</v>
      </c>
      <c r="D27" s="66" t="b">
        <f>IF(ASIC!$H28=$D$1,ASIC!$Y28)</f>
        <v>0</v>
      </c>
      <c r="E27" s="66" t="b">
        <f>IF(ASIC!$H28=$E$1,ASIC!$Y28)</f>
        <v>0</v>
      </c>
      <c r="F27" s="66" t="b">
        <f>IF(ASIC!$H28=$F$1,ASIC!$Y28)</f>
        <v>0</v>
      </c>
      <c r="G27" s="66">
        <f>IF(ASIC!$H28=$G$1,ASIC!$Y28)</f>
        <v>6000</v>
      </c>
      <c r="J27"/>
      <c r="K27"/>
      <c r="L27" s="70">
        <f>ASIC!D28</f>
        <v>2015</v>
      </c>
      <c r="M27" s="62"/>
      <c r="N27" s="62"/>
      <c r="O27" s="62"/>
      <c r="P27" s="62"/>
      <c r="Q27" s="62">
        <v>6000</v>
      </c>
      <c r="R27" s="70">
        <v>2015</v>
      </c>
      <c r="S27" s="63">
        <f t="shared" si="0"/>
        <v>6000</v>
      </c>
      <c r="T27" s="63"/>
      <c r="V27" s="70">
        <f>ASIC!D28</f>
        <v>2015</v>
      </c>
      <c r="W27" s="73" t="b">
        <f>IF(ASIC!H28=Data!W$1,ASIC!Y28)</f>
        <v>0</v>
      </c>
      <c r="X27" s="73" t="b">
        <f>IF(ASIC!H28=Data!X$1,ASIC!Y28)</f>
        <v>0</v>
      </c>
      <c r="Y27" s="73" t="b">
        <f>IF(ASIC!H28=Data!Y$1,ASIC!Y28)</f>
        <v>0</v>
      </c>
      <c r="Z27" s="73" t="b">
        <f>IF(ASIC!H28=Data!Z$1,ASIC!Y28)</f>
        <v>0</v>
      </c>
      <c r="AA27" s="73">
        <f>IF(ASIC!H28=Data!AA$1,ASIC!Y28)</f>
        <v>6000</v>
      </c>
    </row>
    <row r="28" spans="1:27" x14ac:dyDescent="0.3">
      <c r="A28" s="64"/>
      <c r="B28" s="68">
        <f>ASIC!D29</f>
        <v>2015</v>
      </c>
      <c r="C28" s="66">
        <f>IF(ASIC!$H29=$C$1,ASIC!$Y29)</f>
        <v>726.62721893491107</v>
      </c>
      <c r="D28" s="66" t="b">
        <f>IF(ASIC!$H29=$D$1,ASIC!$Y29)</f>
        <v>0</v>
      </c>
      <c r="E28" s="66" t="b">
        <f>IF(ASIC!$H29=$E$1,ASIC!$Y29)</f>
        <v>0</v>
      </c>
      <c r="F28" s="66" t="b">
        <f>IF(ASIC!$H29=$F$1,ASIC!$Y29)</f>
        <v>0</v>
      </c>
      <c r="G28" s="66" t="b">
        <f>IF(ASIC!$H29=$G$1,ASIC!$Y29)</f>
        <v>0</v>
      </c>
      <c r="J28"/>
      <c r="K28"/>
      <c r="L28" s="70">
        <f>ASIC!D29</f>
        <v>2015</v>
      </c>
      <c r="M28" s="62">
        <v>726.62721893491107</v>
      </c>
      <c r="N28" s="62"/>
      <c r="O28" s="62"/>
      <c r="P28" s="62"/>
      <c r="Q28" s="62"/>
      <c r="R28" s="70">
        <v>2015</v>
      </c>
      <c r="S28" s="63">
        <f t="shared" si="0"/>
        <v>726.62721893491107</v>
      </c>
      <c r="T28" s="63"/>
      <c r="V28" s="70">
        <f>ASIC!D29</f>
        <v>2015</v>
      </c>
      <c r="W28" s="73">
        <f>IF(ASIC!H29=Data!W$1,ASIC!Y29)</f>
        <v>726.62721893491107</v>
      </c>
      <c r="X28" s="73" t="b">
        <f>IF(ASIC!H29=Data!X$1,ASIC!Y29)</f>
        <v>0</v>
      </c>
      <c r="Y28" s="73" t="b">
        <f>IF(ASIC!H29=Data!Y$1,ASIC!Y29)</f>
        <v>0</v>
      </c>
      <c r="Z28" s="73" t="b">
        <f>IF(ASIC!H29=Data!Z$1,ASIC!Y29)</f>
        <v>0</v>
      </c>
      <c r="AA28" s="73" t="b">
        <f>IF(ASIC!H29=Data!AA$1,ASIC!Y29)</f>
        <v>0</v>
      </c>
    </row>
    <row r="29" spans="1:27" x14ac:dyDescent="0.3">
      <c r="A29" s="64"/>
      <c r="B29" s="68">
        <f>ASIC!D30</f>
        <v>2015</v>
      </c>
      <c r="C29" s="66">
        <f>IF(ASIC!$H30=$C$1,ASIC!$Y30)</f>
        <v>11574.074074074075</v>
      </c>
      <c r="D29" s="66" t="b">
        <f>IF(ASIC!$H30=$D$1,ASIC!$Y30)</f>
        <v>0</v>
      </c>
      <c r="E29" s="66" t="b">
        <f>IF(ASIC!$H30=$E$1,ASIC!$Y30)</f>
        <v>0</v>
      </c>
      <c r="F29" s="66" t="b">
        <f>IF(ASIC!$H30=$F$1,ASIC!$Y30)</f>
        <v>0</v>
      </c>
      <c r="G29" s="66" t="b">
        <f>IF(ASIC!$H30=$G$1,ASIC!$Y30)</f>
        <v>0</v>
      </c>
      <c r="J29"/>
      <c r="K29"/>
      <c r="L29" s="70">
        <f>ASIC!D30</f>
        <v>2015</v>
      </c>
      <c r="M29" s="62">
        <v>11574.074074074075</v>
      </c>
      <c r="N29" s="62"/>
      <c r="O29" s="62"/>
      <c r="P29" s="62"/>
      <c r="Q29" s="62"/>
      <c r="R29" s="70">
        <v>2015</v>
      </c>
      <c r="S29" s="63">
        <f t="shared" si="0"/>
        <v>11574.074074074075</v>
      </c>
      <c r="T29" s="63"/>
      <c r="V29" s="70">
        <f>ASIC!D30</f>
        <v>2015</v>
      </c>
      <c r="W29" s="73">
        <f>IF(ASIC!H30=Data!W$1,ASIC!Y30)</f>
        <v>11574.074074074075</v>
      </c>
      <c r="X29" s="73" t="b">
        <f>IF(ASIC!H30=Data!X$1,ASIC!Y30)</f>
        <v>0</v>
      </c>
      <c r="Y29" s="73" t="b">
        <f>IF(ASIC!H30=Data!Y$1,ASIC!Y30)</f>
        <v>0</v>
      </c>
      <c r="Z29" s="73" t="b">
        <f>IF(ASIC!H30=Data!Z$1,ASIC!Y30)</f>
        <v>0</v>
      </c>
      <c r="AA29" s="73" t="b">
        <f>IF(ASIC!H30=Data!AA$1,ASIC!Y30)</f>
        <v>0</v>
      </c>
    </row>
    <row r="30" spans="1:27" x14ac:dyDescent="0.3">
      <c r="A30" s="64"/>
      <c r="B30" s="68">
        <f>ASIC!D31</f>
        <v>2015</v>
      </c>
      <c r="C30" s="66" t="b">
        <f>IF(ASIC!$H31=$C$1,ASIC!$Y31)</f>
        <v>0</v>
      </c>
      <c r="D30" s="66">
        <f>IF(ASIC!$H31=$D$1,ASIC!$Y31)</f>
        <v>527849.99999999988</v>
      </c>
      <c r="E30" s="66" t="b">
        <f>IF(ASIC!$H31=$E$1,ASIC!$Y31)</f>
        <v>0</v>
      </c>
      <c r="F30" s="66" t="b">
        <f>IF(ASIC!$H31=$F$1,ASIC!$Y31)</f>
        <v>0</v>
      </c>
      <c r="G30" s="66" t="b">
        <f>IF(ASIC!$H31=$G$1,ASIC!$Y31)</f>
        <v>0</v>
      </c>
      <c r="J30"/>
      <c r="K30"/>
      <c r="L30" s="70">
        <f>ASIC!D31</f>
        <v>2015</v>
      </c>
      <c r="M30" s="62"/>
      <c r="N30" s="62">
        <v>527849.99999999988</v>
      </c>
      <c r="O30" s="62"/>
      <c r="P30" s="62"/>
      <c r="Q30" s="62"/>
      <c r="R30" s="70">
        <v>2015</v>
      </c>
      <c r="S30" s="63">
        <f t="shared" si="0"/>
        <v>527849.99999999988</v>
      </c>
      <c r="T30" s="63"/>
      <c r="V30" s="70">
        <f>ASIC!D31</f>
        <v>2015</v>
      </c>
      <c r="W30" s="73" t="b">
        <f>IF(ASIC!H31=Data!W$1,ASIC!Y31)</f>
        <v>0</v>
      </c>
      <c r="X30" s="73">
        <f>IF(ASIC!H31=Data!X$1,ASIC!Y31)</f>
        <v>527849.99999999988</v>
      </c>
      <c r="Y30" s="73" t="b">
        <f>IF(ASIC!H31=Data!Y$1,ASIC!Y31)</f>
        <v>0</v>
      </c>
      <c r="Z30" s="73" t="b">
        <f>IF(ASIC!H31=Data!Z$1,ASIC!Y31)</f>
        <v>0</v>
      </c>
      <c r="AA30" s="73" t="b">
        <f>IF(ASIC!H31=Data!AA$1,ASIC!Y31)</f>
        <v>0</v>
      </c>
    </row>
    <row r="31" spans="1:27" x14ac:dyDescent="0.3">
      <c r="A31" s="64"/>
      <c r="B31" s="68">
        <f>ASIC!D32</f>
        <v>2016</v>
      </c>
      <c r="C31" s="66">
        <f>IF(ASIC!$H32=$C$1,ASIC!$Y32)</f>
        <v>2613.3333333333335</v>
      </c>
      <c r="D31" s="66" t="b">
        <f>IF(ASIC!$H32=$D$1,ASIC!$Y32)</f>
        <v>0</v>
      </c>
      <c r="E31" s="66" t="b">
        <f>IF(ASIC!$H32=$E$1,ASIC!$Y32)</f>
        <v>0</v>
      </c>
      <c r="F31" s="66" t="b">
        <f>IF(ASIC!$H32=$F$1,ASIC!$Y32)</f>
        <v>0</v>
      </c>
      <c r="G31" s="66" t="b">
        <f>IF(ASIC!$H32=$G$1,ASIC!$Y32)</f>
        <v>0</v>
      </c>
      <c r="J31"/>
      <c r="K31"/>
      <c r="L31" s="70">
        <f>ASIC!D32</f>
        <v>2016</v>
      </c>
      <c r="M31" s="62">
        <v>2613.3333333333335</v>
      </c>
      <c r="N31" s="62"/>
      <c r="O31" s="62"/>
      <c r="P31" s="62"/>
      <c r="Q31" s="62"/>
      <c r="R31" s="70">
        <v>2016</v>
      </c>
      <c r="S31" s="63">
        <f t="shared" si="0"/>
        <v>2613.3333333333335</v>
      </c>
      <c r="T31" s="63"/>
      <c r="V31" s="70">
        <f>ASIC!D32</f>
        <v>2016</v>
      </c>
      <c r="W31" s="73">
        <f>IF(ASIC!H32=Data!W$1,ASIC!Y32)</f>
        <v>2613.3333333333335</v>
      </c>
      <c r="X31" s="73" t="b">
        <f>IF(ASIC!H32=Data!X$1,ASIC!Y32)</f>
        <v>0</v>
      </c>
      <c r="Y31" s="73" t="b">
        <f>IF(ASIC!H32=Data!Y$1,ASIC!Y32)</f>
        <v>0</v>
      </c>
      <c r="Z31" s="73" t="b">
        <f>IF(ASIC!H32=Data!Z$1,ASIC!Y32)</f>
        <v>0</v>
      </c>
      <c r="AA31" s="73" t="b">
        <f>IF(ASIC!H32=Data!AA$1,ASIC!Y32)</f>
        <v>0</v>
      </c>
    </row>
    <row r="32" spans="1:27" x14ac:dyDescent="0.3">
      <c r="A32" s="64"/>
      <c r="B32" s="68">
        <f>ASIC!D33</f>
        <v>2016</v>
      </c>
      <c r="C32" s="66" t="b">
        <f>IF(ASIC!$H33=$C$1,ASIC!$Y33)</f>
        <v>0</v>
      </c>
      <c r="D32" s="66" t="b">
        <f>IF(ASIC!$H33=$D$1,ASIC!$Y33)</f>
        <v>0</v>
      </c>
      <c r="E32" s="66" t="b">
        <f>IF(ASIC!$H33=$E$1,ASIC!$Y33)</f>
        <v>0</v>
      </c>
      <c r="F32" s="66" t="b">
        <f>IF(ASIC!$H33=$F$1,ASIC!$Y33)</f>
        <v>0</v>
      </c>
      <c r="G32" s="66">
        <f>IF(ASIC!$H33=$G$1,ASIC!$Y33)</f>
        <v>6000</v>
      </c>
      <c r="J32"/>
      <c r="K32"/>
      <c r="L32" s="70">
        <f>ASIC!D33</f>
        <v>2016</v>
      </c>
      <c r="M32" s="62"/>
      <c r="N32" s="62"/>
      <c r="O32" s="62"/>
      <c r="P32" s="62"/>
      <c r="Q32" s="62">
        <v>6000</v>
      </c>
      <c r="R32" s="70">
        <v>2016</v>
      </c>
      <c r="S32" s="63">
        <f t="shared" si="0"/>
        <v>6000</v>
      </c>
      <c r="T32" s="63"/>
      <c r="V32" s="70">
        <f>ASIC!D33</f>
        <v>2016</v>
      </c>
      <c r="W32" s="73" t="b">
        <f>IF(ASIC!H33=Data!W$1,ASIC!Y33)</f>
        <v>0</v>
      </c>
      <c r="X32" s="73" t="b">
        <f>IF(ASIC!H33=Data!X$1,ASIC!Y33)</f>
        <v>0</v>
      </c>
      <c r="Y32" s="73" t="b">
        <f>IF(ASIC!H33=Data!Y$1,ASIC!Y33)</f>
        <v>0</v>
      </c>
      <c r="Z32" s="73" t="b">
        <f>IF(ASIC!H33=Data!Z$1,ASIC!Y33)</f>
        <v>0</v>
      </c>
      <c r="AA32" s="73">
        <f>IF(ASIC!H33=Data!AA$1,ASIC!Y33)</f>
        <v>6000</v>
      </c>
    </row>
    <row r="33" spans="1:27" x14ac:dyDescent="0.3">
      <c r="A33" s="64"/>
      <c r="B33" s="68">
        <f>ASIC!D34</f>
        <v>2016</v>
      </c>
      <c r="C33" s="66" t="b">
        <f>IF(ASIC!$H34=$C$1,ASIC!$Y34)</f>
        <v>0</v>
      </c>
      <c r="D33" s="66" t="b">
        <f>IF(ASIC!$H34=$D$1,ASIC!$Y34)</f>
        <v>0</v>
      </c>
      <c r="E33" s="66">
        <f>IF(ASIC!$H34=$E$1,ASIC!$Y34)</f>
        <v>806</v>
      </c>
      <c r="F33" s="66" t="b">
        <f>IF(ASIC!$H34=$F$1,ASIC!$Y34)</f>
        <v>0</v>
      </c>
      <c r="G33" s="66" t="b">
        <f>IF(ASIC!$H34=$G$1,ASIC!$Y34)</f>
        <v>0</v>
      </c>
      <c r="J33"/>
      <c r="K33"/>
      <c r="L33" s="70">
        <f>ASIC!D34</f>
        <v>2016</v>
      </c>
      <c r="M33" s="62"/>
      <c r="N33" s="62"/>
      <c r="O33" s="62">
        <v>806</v>
      </c>
      <c r="P33" s="62"/>
      <c r="Q33" s="62"/>
      <c r="R33" s="70">
        <v>2016</v>
      </c>
      <c r="S33" s="63">
        <f t="shared" si="0"/>
        <v>806</v>
      </c>
      <c r="T33" s="63"/>
      <c r="V33" s="70">
        <f>ASIC!D34</f>
        <v>2016</v>
      </c>
      <c r="W33" s="73" t="b">
        <f>IF(ASIC!H34=Data!W$1,ASIC!Y34)</f>
        <v>0</v>
      </c>
      <c r="X33" s="73" t="b">
        <f>IF(ASIC!H34=Data!X$1,ASIC!Y34)</f>
        <v>0</v>
      </c>
      <c r="Y33" s="73">
        <f>IF(ASIC!H34=Data!Y$1,ASIC!Y34)</f>
        <v>806</v>
      </c>
      <c r="Z33" s="73" t="b">
        <f>IF(ASIC!H34=Data!Z$1,ASIC!Y34)</f>
        <v>0</v>
      </c>
      <c r="AA33" s="73" t="b">
        <f>IF(ASIC!H34=Data!AA$1,ASIC!Y34)</f>
        <v>0</v>
      </c>
    </row>
    <row r="34" spans="1:27" x14ac:dyDescent="0.3">
      <c r="A34" s="64"/>
      <c r="B34" s="68">
        <f>ASIC!D35</f>
        <v>2016</v>
      </c>
      <c r="C34" s="66" t="b">
        <f>IF(ASIC!$H35=$C$1,ASIC!$Y35)</f>
        <v>0</v>
      </c>
      <c r="D34" s="66">
        <f>IF(ASIC!$H35=$D$1,ASIC!$Y35)</f>
        <v>16642</v>
      </c>
      <c r="E34" s="66" t="b">
        <f>IF(ASIC!$H35=$E$1,ASIC!$Y35)</f>
        <v>0</v>
      </c>
      <c r="F34" s="66" t="b">
        <f>IF(ASIC!$H35=$F$1,ASIC!$Y35)</f>
        <v>0</v>
      </c>
      <c r="G34" s="66" t="b">
        <f>IF(ASIC!$H35=$G$1,ASIC!$Y35)</f>
        <v>0</v>
      </c>
      <c r="J34"/>
      <c r="K34"/>
      <c r="L34" s="70">
        <f>ASIC!D35</f>
        <v>2016</v>
      </c>
      <c r="M34" s="62"/>
      <c r="N34" s="62">
        <v>16642</v>
      </c>
      <c r="O34" s="62"/>
      <c r="P34" s="62"/>
      <c r="Q34" s="62"/>
      <c r="R34" s="70">
        <v>2016</v>
      </c>
      <c r="S34" s="63">
        <f t="shared" si="0"/>
        <v>16642</v>
      </c>
      <c r="T34" s="63"/>
      <c r="V34" s="70">
        <f>ASIC!D35</f>
        <v>2016</v>
      </c>
      <c r="W34" s="73" t="b">
        <f>IF(ASIC!H35=Data!W$1,ASIC!Y35)</f>
        <v>0</v>
      </c>
      <c r="X34" s="73">
        <f>IF(ASIC!H35=Data!X$1,ASIC!Y35)</f>
        <v>16642</v>
      </c>
      <c r="Y34" s="73" t="b">
        <f>IF(ASIC!H35=Data!Y$1,ASIC!Y35)</f>
        <v>0</v>
      </c>
      <c r="Z34" s="73" t="b">
        <f>IF(ASIC!H35=Data!Z$1,ASIC!Y35)</f>
        <v>0</v>
      </c>
      <c r="AA34" s="73" t="b">
        <f>IF(ASIC!H35=Data!AA$1,ASIC!Y35)</f>
        <v>0</v>
      </c>
    </row>
    <row r="35" spans="1:27" x14ac:dyDescent="0.3">
      <c r="A35" s="64"/>
      <c r="B35" s="68">
        <f>ASIC!D36</f>
        <v>2016</v>
      </c>
      <c r="C35" s="66">
        <f>IF(ASIC!$H36=$C$1,ASIC!$Y36)</f>
        <v>726.62721893491107</v>
      </c>
      <c r="D35" s="66" t="b">
        <f>IF(ASIC!$H36=$D$1,ASIC!$Y36)</f>
        <v>0</v>
      </c>
      <c r="E35" s="66" t="b">
        <f>IF(ASIC!$H36=$E$1,ASIC!$Y36)</f>
        <v>0</v>
      </c>
      <c r="F35" s="66" t="b">
        <f>IF(ASIC!$H36=$F$1,ASIC!$Y36)</f>
        <v>0</v>
      </c>
      <c r="G35" s="66" t="b">
        <f>IF(ASIC!$H36=$G$1,ASIC!$Y36)</f>
        <v>0</v>
      </c>
      <c r="J35"/>
      <c r="K35"/>
      <c r="L35" s="70">
        <f>ASIC!D36</f>
        <v>2016</v>
      </c>
      <c r="M35" s="62">
        <v>726.62721893491107</v>
      </c>
      <c r="N35" s="62"/>
      <c r="O35" s="62"/>
      <c r="P35" s="62"/>
      <c r="Q35" s="62"/>
      <c r="R35" s="70">
        <v>2016</v>
      </c>
      <c r="S35" s="63">
        <f t="shared" si="0"/>
        <v>726.62721893491107</v>
      </c>
      <c r="T35" s="63"/>
      <c r="V35" s="70">
        <f>ASIC!D36</f>
        <v>2016</v>
      </c>
      <c r="W35" s="73">
        <f>IF(ASIC!H36=Data!W$1,ASIC!Y36)</f>
        <v>726.62721893491107</v>
      </c>
      <c r="X35" s="73" t="b">
        <f>IF(ASIC!H36=Data!X$1,ASIC!Y36)</f>
        <v>0</v>
      </c>
      <c r="Y35" s="73" t="b">
        <f>IF(ASIC!H36=Data!Y$1,ASIC!Y36)</f>
        <v>0</v>
      </c>
      <c r="Z35" s="73" t="b">
        <f>IF(ASIC!H36=Data!Z$1,ASIC!Y36)</f>
        <v>0</v>
      </c>
      <c r="AA35" s="73" t="b">
        <f>IF(ASIC!H36=Data!AA$1,ASIC!Y36)</f>
        <v>0</v>
      </c>
    </row>
    <row r="36" spans="1:27" x14ac:dyDescent="0.3">
      <c r="A36" s="64"/>
      <c r="B36" s="68">
        <f>ASIC!D37</f>
        <v>2016</v>
      </c>
      <c r="C36" s="66" t="b">
        <f>IF(ASIC!$H37=$C$1,ASIC!$Y37)</f>
        <v>0</v>
      </c>
      <c r="D36" s="66" t="b">
        <f>IF(ASIC!$H37=$D$1,ASIC!$Y37)</f>
        <v>0</v>
      </c>
      <c r="E36" s="66" t="b">
        <f>IF(ASIC!$H37=$E$1,ASIC!$Y37)</f>
        <v>0</v>
      </c>
      <c r="F36" s="66">
        <f>IF(ASIC!$H37=$F$1,ASIC!$Y37)</f>
        <v>9387.7551020408155</v>
      </c>
      <c r="G36" s="66" t="b">
        <f>IF(ASIC!$H37=$G$1,ASIC!$Y37)</f>
        <v>0</v>
      </c>
      <c r="J36"/>
      <c r="K36"/>
      <c r="L36" s="70">
        <f>ASIC!D37</f>
        <v>2016</v>
      </c>
      <c r="M36" s="62"/>
      <c r="N36" s="62"/>
      <c r="O36" s="62"/>
      <c r="P36" s="62">
        <v>9387.7551020408155</v>
      </c>
      <c r="Q36" s="62"/>
      <c r="R36" s="70">
        <v>2016</v>
      </c>
      <c r="S36" s="63">
        <f t="shared" si="0"/>
        <v>9387.7551020408155</v>
      </c>
      <c r="T36" s="63"/>
      <c r="V36" s="70">
        <f>ASIC!D37</f>
        <v>2016</v>
      </c>
      <c r="W36" s="73" t="b">
        <f>IF(ASIC!H37=Data!W$1,ASIC!Y37)</f>
        <v>0</v>
      </c>
      <c r="X36" s="73" t="b">
        <f>IF(ASIC!H37=Data!X$1,ASIC!Y37)</f>
        <v>0</v>
      </c>
      <c r="Y36" s="73" t="b">
        <f>IF(ASIC!H37=Data!Y$1,ASIC!Y37)</f>
        <v>0</v>
      </c>
      <c r="Z36" s="73">
        <f>IF(ASIC!H37=Data!Z$1,ASIC!Y37)</f>
        <v>9387.7551020408155</v>
      </c>
      <c r="AA36" s="73" t="b">
        <f>IF(ASIC!H37=Data!AA$1,ASIC!Y37)</f>
        <v>0</v>
      </c>
    </row>
    <row r="37" spans="1:27" x14ac:dyDescent="0.3">
      <c r="A37" s="64"/>
      <c r="B37" s="68">
        <f>ASIC!D38</f>
        <v>2016</v>
      </c>
      <c r="C37" s="66" t="b">
        <f>IF(ASIC!$H38=$C$1,ASIC!$Y38)</f>
        <v>0</v>
      </c>
      <c r="D37" s="66" t="b">
        <f>IF(ASIC!$H38=$D$1,ASIC!$Y38)</f>
        <v>0</v>
      </c>
      <c r="E37" s="66" t="b">
        <f>IF(ASIC!$H38=$E$1,ASIC!$Y38)</f>
        <v>0</v>
      </c>
      <c r="F37" s="66" t="b">
        <f>IF(ASIC!$H38=$F$1,ASIC!$Y38)</f>
        <v>0</v>
      </c>
      <c r="G37" s="66" t="b">
        <f>IF(ASIC!$H38=$G$1,ASIC!$Y38)</f>
        <v>0</v>
      </c>
      <c r="J37"/>
      <c r="K37"/>
      <c r="L37" s="70">
        <f>ASIC!D38</f>
        <v>2016</v>
      </c>
      <c r="M37" s="62"/>
      <c r="N37" s="62"/>
      <c r="O37" s="62"/>
      <c r="P37" s="62"/>
      <c r="Q37" s="62"/>
      <c r="R37" s="70">
        <v>2016</v>
      </c>
      <c r="S37" s="63"/>
      <c r="T37" s="63"/>
      <c r="V37" s="70">
        <f>ASIC!D38</f>
        <v>2016</v>
      </c>
      <c r="W37" s="73" t="b">
        <f>IF(ASIC!H38=Data!W$1,ASIC!Y38)</f>
        <v>0</v>
      </c>
      <c r="X37" s="73" t="b">
        <f>IF(ASIC!H38=Data!X$1,ASIC!Y38)</f>
        <v>0</v>
      </c>
      <c r="Y37" s="73" t="b">
        <f>IF(ASIC!H38=Data!Y$1,ASIC!Y38)</f>
        <v>0</v>
      </c>
      <c r="Z37" s="73" t="b">
        <f>IF(ASIC!H38=Data!Z$1,ASIC!Y38)</f>
        <v>0</v>
      </c>
      <c r="AA37" s="73" t="b">
        <f>IF(ASIC!H38=Data!AA$1,ASIC!Y38)</f>
        <v>0</v>
      </c>
    </row>
    <row r="38" spans="1:27" x14ac:dyDescent="0.3">
      <c r="A38" s="64"/>
      <c r="B38" s="68">
        <f>ASIC!D39</f>
        <v>2017</v>
      </c>
      <c r="C38" s="66" t="b">
        <f>IF(ASIC!$H39=$C$1,ASIC!$Y39)</f>
        <v>0</v>
      </c>
      <c r="D38" s="66" t="b">
        <f>IF(ASIC!$H39=$D$1,ASIC!$Y39)</f>
        <v>0</v>
      </c>
      <c r="E38" s="66" t="b">
        <f>IF(ASIC!$H39=$E$1,ASIC!$Y39)</f>
        <v>0</v>
      </c>
      <c r="F38" s="66" t="b">
        <f>IF(ASIC!$H39=$F$1,ASIC!$Y39)</f>
        <v>0</v>
      </c>
      <c r="G38" s="66">
        <f>IF(ASIC!$H39=$G$1,ASIC!$Y39)</f>
        <v>782</v>
      </c>
      <c r="J38"/>
      <c r="K38"/>
      <c r="L38" s="70">
        <f>ASIC!D39</f>
        <v>2017</v>
      </c>
      <c r="M38" s="62"/>
      <c r="N38" s="62"/>
      <c r="O38" s="62"/>
      <c r="P38" s="62"/>
      <c r="Q38" s="62">
        <v>782</v>
      </c>
      <c r="R38" s="70">
        <v>2017</v>
      </c>
      <c r="S38" s="63">
        <f t="shared" si="0"/>
        <v>782</v>
      </c>
      <c r="T38" s="63"/>
      <c r="V38" s="70">
        <f>ASIC!D39</f>
        <v>2017</v>
      </c>
      <c r="W38" s="73" t="b">
        <f>IF(ASIC!H39=Data!W$1,ASIC!Y39)</f>
        <v>0</v>
      </c>
      <c r="X38" s="73" t="b">
        <f>IF(ASIC!H39=Data!X$1,ASIC!Y39)</f>
        <v>0</v>
      </c>
      <c r="Y38" s="73" t="b">
        <f>IF(ASIC!H39=Data!Y$1,ASIC!Y39)</f>
        <v>0</v>
      </c>
      <c r="Z38" s="73" t="b">
        <f>IF(ASIC!H39=Data!Z$1,ASIC!Y39)</f>
        <v>0</v>
      </c>
      <c r="AA38" s="73">
        <f>IF(ASIC!H39=Data!AA$1,ASIC!Y39)</f>
        <v>782</v>
      </c>
    </row>
    <row r="39" spans="1:27" x14ac:dyDescent="0.3">
      <c r="A39" s="64"/>
      <c r="B39" s="68">
        <f>ASIC!D40</f>
        <v>2017</v>
      </c>
      <c r="C39" s="66" t="b">
        <f>IF(ASIC!$H40=$C$1,ASIC!$Y40)</f>
        <v>0</v>
      </c>
      <c r="D39" s="66" t="b">
        <f>IF(ASIC!$H40=$D$1,ASIC!$Y40)</f>
        <v>0</v>
      </c>
      <c r="E39" s="66" t="b">
        <f>IF(ASIC!$H40=$E$1,ASIC!$Y40)</f>
        <v>0</v>
      </c>
      <c r="F39" s="66" t="b">
        <f>IF(ASIC!$H40=$F$1,ASIC!$Y40)</f>
        <v>0</v>
      </c>
      <c r="G39" s="66">
        <f>IF(ASIC!$H40=$G$1,ASIC!$Y40)</f>
        <v>553</v>
      </c>
      <c r="J39"/>
      <c r="K39"/>
      <c r="L39" s="70">
        <f>ASIC!D40</f>
        <v>2017</v>
      </c>
      <c r="M39" s="62"/>
      <c r="N39" s="62"/>
      <c r="O39" s="62"/>
      <c r="P39" s="62"/>
      <c r="Q39" s="62">
        <v>553</v>
      </c>
      <c r="R39" s="70">
        <v>2017</v>
      </c>
      <c r="S39" s="63">
        <f t="shared" si="0"/>
        <v>553</v>
      </c>
      <c r="T39" s="63"/>
      <c r="V39" s="70">
        <f>ASIC!D40</f>
        <v>2017</v>
      </c>
      <c r="W39" s="73" t="b">
        <f>IF(ASIC!H40=Data!W$1,ASIC!Y40)</f>
        <v>0</v>
      </c>
      <c r="X39" s="73" t="b">
        <f>IF(ASIC!H40=Data!X$1,ASIC!Y40)</f>
        <v>0</v>
      </c>
      <c r="Y39" s="73" t="b">
        <f>IF(ASIC!H40=Data!Y$1,ASIC!Y40)</f>
        <v>0</v>
      </c>
      <c r="Z39" s="73" t="b">
        <f>IF(ASIC!H40=Data!Z$1,ASIC!Y40)</f>
        <v>0</v>
      </c>
      <c r="AA39" s="73">
        <f>IF(ASIC!H40=Data!AA$1,ASIC!Y40)</f>
        <v>553</v>
      </c>
    </row>
    <row r="40" spans="1:27" x14ac:dyDescent="0.3">
      <c r="A40" s="64"/>
      <c r="B40" s="68">
        <f>ASIC!D41</f>
        <v>2017</v>
      </c>
      <c r="C40" s="66">
        <f>IF(ASIC!$H41=$C$1,ASIC!$Y41)</f>
        <v>0</v>
      </c>
      <c r="D40" s="66" t="b">
        <f>IF(ASIC!$H41=$D$1,ASIC!$Y41)</f>
        <v>0</v>
      </c>
      <c r="E40" s="66" t="b">
        <f>IF(ASIC!$H41=$E$1,ASIC!$Y41)</f>
        <v>0</v>
      </c>
      <c r="F40" s="66" t="b">
        <f>IF(ASIC!$H41=$F$1,ASIC!$Y41)</f>
        <v>0</v>
      </c>
      <c r="G40" s="66" t="b">
        <f>IF(ASIC!$H41=$G$1,ASIC!$Y41)</f>
        <v>0</v>
      </c>
      <c r="J40"/>
      <c r="K40"/>
      <c r="L40" s="70">
        <f>ASIC!D41</f>
        <v>2017</v>
      </c>
      <c r="M40" s="62"/>
      <c r="N40" s="62"/>
      <c r="O40" s="62"/>
      <c r="P40" s="62"/>
      <c r="Q40" s="62"/>
      <c r="R40" s="70">
        <v>2017</v>
      </c>
      <c r="S40" s="63"/>
      <c r="T40" s="63"/>
      <c r="V40" s="70">
        <f>ASIC!D41</f>
        <v>2017</v>
      </c>
      <c r="W40" s="73">
        <f>IF(ASIC!H41=Data!W$1,ASIC!Y41)</f>
        <v>0</v>
      </c>
      <c r="X40" s="73" t="b">
        <f>IF(ASIC!H41=Data!X$1,ASIC!Y41)</f>
        <v>0</v>
      </c>
      <c r="Y40" s="73" t="b">
        <f>IF(ASIC!H41=Data!Y$1,ASIC!Y41)</f>
        <v>0</v>
      </c>
      <c r="Z40" s="73" t="b">
        <f>IF(ASIC!H41=Data!Z$1,ASIC!Y41)</f>
        <v>0</v>
      </c>
      <c r="AA40" s="73" t="b">
        <f>IF(ASIC!H41=Data!AA$1,ASIC!Y41)</f>
        <v>0</v>
      </c>
    </row>
    <row r="41" spans="1:27" x14ac:dyDescent="0.3">
      <c r="A41" s="64"/>
      <c r="B41" s="68">
        <f>ASIC!D42</f>
        <v>2017</v>
      </c>
      <c r="C41" s="66">
        <f>IF(ASIC!$H42=$C$1,ASIC!$Y42)</f>
        <v>150</v>
      </c>
      <c r="D41" s="66" t="b">
        <f>IF(ASIC!$H42=$D$1,ASIC!$Y42)</f>
        <v>0</v>
      </c>
      <c r="E41" s="66" t="b">
        <f>IF(ASIC!$H42=$E$1,ASIC!$Y42)</f>
        <v>0</v>
      </c>
      <c r="F41" s="66" t="b">
        <f>IF(ASIC!$H42=$F$1,ASIC!$Y42)</f>
        <v>0</v>
      </c>
      <c r="G41" s="66" t="b">
        <f>IF(ASIC!$H42=$G$1,ASIC!$Y42)</f>
        <v>0</v>
      </c>
      <c r="J41"/>
      <c r="K41"/>
      <c r="L41" s="70">
        <f>ASIC!D42</f>
        <v>2017</v>
      </c>
      <c r="M41" s="62">
        <v>150</v>
      </c>
      <c r="N41" s="62"/>
      <c r="O41" s="62"/>
      <c r="P41" s="62"/>
      <c r="Q41" s="62"/>
      <c r="R41" s="70">
        <v>2017</v>
      </c>
      <c r="S41" s="63">
        <f t="shared" si="0"/>
        <v>150</v>
      </c>
      <c r="T41" s="63"/>
      <c r="V41" s="70">
        <f>ASIC!D42</f>
        <v>2017</v>
      </c>
      <c r="W41" s="73">
        <f>IF(ASIC!H42=Data!W$1,ASIC!Y42)</f>
        <v>150</v>
      </c>
      <c r="X41" s="73" t="b">
        <f>IF(ASIC!H42=Data!X$1,ASIC!Y42)</f>
        <v>0</v>
      </c>
      <c r="Y41" s="73" t="b">
        <f>IF(ASIC!H42=Data!Y$1,ASIC!Y42)</f>
        <v>0</v>
      </c>
      <c r="Z41" s="73" t="b">
        <f>IF(ASIC!H42=Data!Z$1,ASIC!Y42)</f>
        <v>0</v>
      </c>
      <c r="AA41" s="73" t="b">
        <f>IF(ASIC!H42=Data!AA$1,ASIC!Y42)</f>
        <v>0</v>
      </c>
    </row>
    <row r="42" spans="1:27" x14ac:dyDescent="0.3">
      <c r="A42" s="65"/>
      <c r="B42" s="68">
        <f>ASIC!D43</f>
        <v>2017</v>
      </c>
      <c r="C42" s="66">
        <f>IF(ASIC!$H43=$C$1,ASIC!$Y43)</f>
        <v>6500</v>
      </c>
      <c r="D42" s="66" t="b">
        <f>IF(ASIC!$H43=$D$1,ASIC!$Y43)</f>
        <v>0</v>
      </c>
      <c r="E42" s="66" t="b">
        <f>IF(ASIC!$H43=$E$1,ASIC!$Y43)</f>
        <v>0</v>
      </c>
      <c r="F42" s="66" t="b">
        <f>IF(ASIC!$H43=$F$1,ASIC!$Y43)</f>
        <v>0</v>
      </c>
      <c r="G42" s="66" t="b">
        <f>IF(ASIC!$H43=$G$1,ASIC!$Y43)</f>
        <v>0</v>
      </c>
      <c r="J42"/>
      <c r="K42"/>
      <c r="L42" s="70">
        <f>ASIC!D43</f>
        <v>2017</v>
      </c>
      <c r="M42" s="62">
        <v>6500</v>
      </c>
      <c r="N42" s="62"/>
      <c r="O42" s="62"/>
      <c r="P42" s="62"/>
      <c r="Q42" s="62"/>
      <c r="R42" s="70">
        <v>2017</v>
      </c>
      <c r="S42" s="63">
        <f t="shared" si="0"/>
        <v>6500</v>
      </c>
      <c r="T42" s="63"/>
      <c r="V42" s="70">
        <f>ASIC!D43</f>
        <v>2017</v>
      </c>
      <c r="W42" s="73">
        <f>IF(ASIC!H43=Data!W$1,ASIC!Y43)</f>
        <v>6500</v>
      </c>
      <c r="X42" s="73" t="b">
        <f>IF(ASIC!H43=Data!X$1,ASIC!Y43)</f>
        <v>0</v>
      </c>
      <c r="Y42" s="73" t="b">
        <f>IF(ASIC!H43=Data!Y$1,ASIC!Y43)</f>
        <v>0</v>
      </c>
      <c r="Z42" s="73" t="b">
        <f>IF(ASIC!H43=Data!Z$1,ASIC!Y43)</f>
        <v>0</v>
      </c>
      <c r="AA42" s="73" t="b">
        <f>IF(ASIC!H43=Data!AA$1,ASIC!Y43)</f>
        <v>0</v>
      </c>
    </row>
    <row r="43" spans="1:27" x14ac:dyDescent="0.3">
      <c r="A43" s="65"/>
      <c r="B43" s="68">
        <f>ASIC!D44</f>
        <v>2017</v>
      </c>
      <c r="C43" s="66">
        <f>IF(ASIC!$H44=$C$1,ASIC!$Y44)</f>
        <v>6500</v>
      </c>
      <c r="D43" s="66" t="b">
        <f>IF(ASIC!$H44=$D$1,ASIC!$Y44)</f>
        <v>0</v>
      </c>
      <c r="E43" s="66" t="b">
        <f>IF(ASIC!$H44=$E$1,ASIC!$Y44)</f>
        <v>0</v>
      </c>
      <c r="F43" s="66" t="b">
        <f>IF(ASIC!$H44=$F$1,ASIC!$Y44)</f>
        <v>0</v>
      </c>
      <c r="G43" s="66" t="b">
        <f>IF(ASIC!$H44=$G$1,ASIC!$Y44)</f>
        <v>0</v>
      </c>
      <c r="J43"/>
      <c r="K43"/>
      <c r="L43" s="70">
        <f>ASIC!D44</f>
        <v>2017</v>
      </c>
      <c r="M43" s="62">
        <v>6500</v>
      </c>
      <c r="N43" s="62"/>
      <c r="O43" s="62"/>
      <c r="P43" s="62"/>
      <c r="Q43" s="62"/>
      <c r="R43" s="70">
        <v>2017</v>
      </c>
      <c r="S43" s="63">
        <f>SUM(M43:Q43)</f>
        <v>6500</v>
      </c>
      <c r="T43" s="63"/>
      <c r="V43" s="70">
        <f>ASIC!D44</f>
        <v>2017</v>
      </c>
      <c r="W43" s="73">
        <f>IF(ASIC!H44=Data!W$1,ASIC!Y44)</f>
        <v>6500</v>
      </c>
      <c r="X43" s="73" t="b">
        <f>IF(ASIC!H44=Data!X$1,ASIC!Y44)</f>
        <v>0</v>
      </c>
      <c r="Y43" s="73" t="b">
        <f>IF(ASIC!H44=Data!Y$1,ASIC!Y44)</f>
        <v>0</v>
      </c>
      <c r="Z43" s="73" t="b">
        <f>IF(ASIC!H44=Data!Z$1,ASIC!Y44)</f>
        <v>0</v>
      </c>
      <c r="AA43" s="73" t="b">
        <f>IF(ASIC!H44=Data!AA$1,ASIC!Y44)</f>
        <v>0</v>
      </c>
    </row>
    <row r="44" spans="1:27" x14ac:dyDescent="0.3">
      <c r="A44" s="65"/>
      <c r="B44" s="68">
        <f>ASIC!D45</f>
        <v>2017</v>
      </c>
      <c r="C44" s="66" t="b">
        <f>IF(ASIC!$H45=$C$1,ASIC!$Y45)</f>
        <v>0</v>
      </c>
      <c r="D44" s="66" t="b">
        <f>IF(ASIC!$H45=$D$1,ASIC!$Y45)</f>
        <v>0</v>
      </c>
      <c r="E44" s="66" t="b">
        <f>IF(ASIC!$H45=$E$1,ASIC!$Y45)</f>
        <v>0</v>
      </c>
      <c r="F44" s="66">
        <f>IF(ASIC!$H45=$F$1,ASIC!$Y45)</f>
        <v>9387.7551020408155</v>
      </c>
      <c r="G44" s="66" t="b">
        <f>IF(ASIC!$H45=$G$1,ASIC!$Y45)</f>
        <v>0</v>
      </c>
      <c r="J44"/>
      <c r="K44"/>
      <c r="L44" s="70">
        <f>ASIC!D45</f>
        <v>2017</v>
      </c>
      <c r="M44" s="62"/>
      <c r="N44" s="62"/>
      <c r="O44" s="62"/>
      <c r="P44" s="62">
        <v>9387.7551020408155</v>
      </c>
      <c r="Q44" s="62"/>
      <c r="R44" s="70">
        <v>2017</v>
      </c>
      <c r="S44" s="63">
        <f>SUM(M44:Q44)</f>
        <v>9387.7551020408155</v>
      </c>
      <c r="T44" s="63"/>
      <c r="V44" s="70">
        <f>ASIC!D45</f>
        <v>2017</v>
      </c>
      <c r="W44" s="73" t="b">
        <f>IF(ASIC!H45=Data!W$1,ASIC!Y45)</f>
        <v>0</v>
      </c>
      <c r="X44" s="73" t="b">
        <f>IF(ASIC!H45=Data!X$1,ASIC!Y45)</f>
        <v>0</v>
      </c>
      <c r="Y44" s="73" t="b">
        <f>IF(ASIC!H45=Data!Y$1,ASIC!Y45)</f>
        <v>0</v>
      </c>
      <c r="Z44" s="73">
        <f>IF(ASIC!H45=Data!Z$1,ASIC!Y45)</f>
        <v>9387.7551020408155</v>
      </c>
      <c r="AA44" s="73" t="b">
        <f>IF(ASIC!H45=Data!AA$1,ASIC!Y45)</f>
        <v>0</v>
      </c>
    </row>
    <row r="45" spans="1:27" x14ac:dyDescent="0.3">
      <c r="A45" s="65"/>
      <c r="B45" s="68">
        <f>ASIC!D46</f>
        <v>2017</v>
      </c>
      <c r="C45" s="66">
        <f>IF(ASIC!$H46=$C$1,ASIC!$Y46)</f>
        <v>0</v>
      </c>
      <c r="D45" s="66" t="b">
        <f>IF(ASIC!$H46=$D$1,ASIC!$Y46)</f>
        <v>0</v>
      </c>
      <c r="E45" s="66" t="b">
        <f>IF(ASIC!$H46=$E$1,ASIC!$Y46)</f>
        <v>0</v>
      </c>
      <c r="F45" s="66" t="b">
        <f>IF(ASIC!$H46=$F$1,ASIC!$Y46)</f>
        <v>0</v>
      </c>
      <c r="G45" s="66" t="b">
        <f>IF(ASIC!$H46=$G$1,ASIC!$Y46)</f>
        <v>0</v>
      </c>
      <c r="J45"/>
      <c r="K45"/>
      <c r="L45" s="70">
        <f>ASIC!D46</f>
        <v>2017</v>
      </c>
      <c r="M45" s="62"/>
      <c r="N45" s="62"/>
      <c r="O45" s="62"/>
      <c r="P45" s="62"/>
      <c r="Q45" s="62"/>
      <c r="R45" s="70">
        <v>2017</v>
      </c>
      <c r="S45" s="63"/>
      <c r="T45" s="63"/>
      <c r="V45" s="70">
        <f>ASIC!D46</f>
        <v>2017</v>
      </c>
      <c r="W45" s="73">
        <f>IF(ASIC!H46=Data!W$1,ASIC!Y46)</f>
        <v>0</v>
      </c>
      <c r="X45" s="73" t="b">
        <f>IF(ASIC!H46=Data!X$1,ASIC!Y46)</f>
        <v>0</v>
      </c>
      <c r="Y45" s="73" t="b">
        <f>IF(ASIC!H46=Data!Y$1,ASIC!Y46)</f>
        <v>0</v>
      </c>
      <c r="Z45" s="73" t="b">
        <f>IF(ASIC!H46=Data!Z$1,ASIC!Y46)</f>
        <v>0</v>
      </c>
      <c r="AA45" s="73" t="b">
        <f>IF(ASIC!H46=Data!AA$1,ASIC!Y46)</f>
        <v>0</v>
      </c>
    </row>
    <row r="46" spans="1:27" x14ac:dyDescent="0.3">
      <c r="A46" s="65"/>
      <c r="B46" s="68">
        <f>ASIC!D47</f>
        <v>2017</v>
      </c>
      <c r="C46" s="66" t="b">
        <f>IF(ASIC!$H47=$C$1,ASIC!$Y47)</f>
        <v>0</v>
      </c>
      <c r="D46" s="66" t="b">
        <f>IF(ASIC!$H47=$D$1,ASIC!$Y47)</f>
        <v>0</v>
      </c>
      <c r="E46" s="66" t="b">
        <f>IF(ASIC!$H47=$E$1,ASIC!$Y47)</f>
        <v>0</v>
      </c>
      <c r="F46" s="66" t="b">
        <f>IF(ASIC!$H47=$F$1,ASIC!$Y47)</f>
        <v>0</v>
      </c>
      <c r="G46" s="66">
        <f>IF(ASIC!$H47=$G$1,ASIC!$Y47)</f>
        <v>4518.75</v>
      </c>
      <c r="J46"/>
      <c r="K46"/>
      <c r="L46" s="70">
        <f>ASIC!D47</f>
        <v>2017</v>
      </c>
      <c r="M46" s="62"/>
      <c r="N46" s="62"/>
      <c r="O46" s="62"/>
      <c r="P46" s="62"/>
      <c r="Q46" s="62">
        <v>4518.75</v>
      </c>
      <c r="R46" s="70">
        <v>2017</v>
      </c>
      <c r="S46" s="63">
        <f>SUM(M46:Q46)</f>
        <v>4518.75</v>
      </c>
      <c r="T46" s="63"/>
      <c r="V46" s="70">
        <f>ASIC!D47</f>
        <v>2017</v>
      </c>
      <c r="W46" s="73" t="b">
        <f>IF(ASIC!H47=Data!W$1,ASIC!Y47)</f>
        <v>0</v>
      </c>
      <c r="X46" s="73" t="b">
        <f>IF(ASIC!H47=Data!X$1,ASIC!Y47)</f>
        <v>0</v>
      </c>
      <c r="Y46" s="73" t="b">
        <f>IF(ASIC!H47=Data!Y$1,ASIC!Y47)</f>
        <v>0</v>
      </c>
      <c r="Z46" s="73" t="b">
        <f>IF(ASIC!H47=Data!Z$1,ASIC!Y47)</f>
        <v>0</v>
      </c>
      <c r="AA46" s="73">
        <f>IF(ASIC!H47=Data!AA$1,ASIC!Y47)</f>
        <v>4518.75</v>
      </c>
    </row>
    <row r="47" spans="1:27" x14ac:dyDescent="0.3">
      <c r="A47" s="65"/>
      <c r="B47" s="68">
        <f>ASIC!D48</f>
        <v>2018</v>
      </c>
      <c r="C47" s="66">
        <f>IF(ASIC!$H48=$C$1,ASIC!$Y48)</f>
        <v>218.18181818181819</v>
      </c>
      <c r="D47" s="66" t="b">
        <f>IF(ASIC!$H48=$D$1,ASIC!$Y48)</f>
        <v>0</v>
      </c>
      <c r="E47" s="66" t="b">
        <f>IF(ASIC!$H48=$E$1,ASIC!$Y48)</f>
        <v>0</v>
      </c>
      <c r="F47" s="66" t="b">
        <f>IF(ASIC!$H48=$F$1,ASIC!$Y48)</f>
        <v>0</v>
      </c>
      <c r="G47" s="66" t="b">
        <f>IF(ASIC!$H48=$G$1,ASIC!$Y48)</f>
        <v>0</v>
      </c>
      <c r="J47"/>
      <c r="K47"/>
      <c r="L47" s="70">
        <f>ASIC!D48</f>
        <v>2018</v>
      </c>
      <c r="M47" s="62">
        <v>218.18181818181819</v>
      </c>
      <c r="N47" s="62"/>
      <c r="O47" s="62"/>
      <c r="P47" s="62"/>
      <c r="Q47" s="62"/>
      <c r="R47" s="70">
        <v>2018</v>
      </c>
      <c r="S47" s="63">
        <f t="shared" si="0"/>
        <v>218.18181818181819</v>
      </c>
      <c r="T47" s="63"/>
      <c r="V47" s="70">
        <f>ASIC!D48</f>
        <v>2018</v>
      </c>
      <c r="W47" s="73">
        <f>IF(ASIC!H48=Data!W$1,ASIC!Y48)</f>
        <v>218.18181818181819</v>
      </c>
      <c r="X47" s="73" t="b">
        <f>IF(ASIC!H48=Data!X$1,ASIC!Y48)</f>
        <v>0</v>
      </c>
      <c r="Y47" s="73" t="b">
        <f>IF(ASIC!H48=Data!Y$1,ASIC!Y48)</f>
        <v>0</v>
      </c>
      <c r="Z47" s="73" t="b">
        <f>IF(ASIC!H48=Data!Z$1,ASIC!Y48)</f>
        <v>0</v>
      </c>
      <c r="AA47" s="73" t="b">
        <f>IF(ASIC!H48=Data!AA$1,ASIC!Y48)</f>
        <v>0</v>
      </c>
    </row>
    <row r="48" spans="1:27" x14ac:dyDescent="0.3">
      <c r="A48" s="65"/>
      <c r="B48" s="68">
        <f>ASIC!D49</f>
        <v>2018</v>
      </c>
      <c r="C48" s="66">
        <f>IF(ASIC!$H49=$C$1,ASIC!$Y49)</f>
        <v>600</v>
      </c>
      <c r="D48" s="66" t="b">
        <f>IF(ASIC!$H49=$D$1,ASIC!$Y49)</f>
        <v>0</v>
      </c>
      <c r="E48" s="66" t="b">
        <f>IF(ASIC!$H49=$E$1,ASIC!$Y49)</f>
        <v>0</v>
      </c>
      <c r="F48" s="66" t="b">
        <f>IF(ASIC!$H49=$F$1,ASIC!$Y49)</f>
        <v>0</v>
      </c>
      <c r="G48" s="66" t="b">
        <f>IF(ASIC!$H49=$G$1,ASIC!$Y49)</f>
        <v>0</v>
      </c>
      <c r="J48"/>
      <c r="K48"/>
      <c r="L48" s="70">
        <f>ASIC!D49</f>
        <v>2018</v>
      </c>
      <c r="M48" s="62">
        <v>600</v>
      </c>
      <c r="N48" s="62"/>
      <c r="O48" s="62"/>
      <c r="P48" s="62"/>
      <c r="Q48" s="62"/>
      <c r="R48" s="70">
        <v>2018</v>
      </c>
      <c r="S48" s="63">
        <f t="shared" si="0"/>
        <v>600</v>
      </c>
      <c r="T48" s="63"/>
      <c r="V48" s="70">
        <f>ASIC!D49</f>
        <v>2018</v>
      </c>
      <c r="W48" s="73">
        <f>IF(ASIC!H49=Data!W$1,ASIC!Y49)</f>
        <v>600</v>
      </c>
      <c r="X48" s="73" t="b">
        <f>IF(ASIC!H49=Data!X$1,ASIC!Y49)</f>
        <v>0</v>
      </c>
      <c r="Y48" s="73" t="b">
        <f>IF(ASIC!H49=Data!Y$1,ASIC!Y49)</f>
        <v>0</v>
      </c>
      <c r="Z48" s="73" t="b">
        <f>IF(ASIC!H49=Data!Z$1,ASIC!Y49)</f>
        <v>0</v>
      </c>
      <c r="AA48" s="73" t="b">
        <f>IF(ASIC!H49=Data!AA$1,ASIC!Y49)</f>
        <v>0</v>
      </c>
    </row>
    <row r="49" spans="1:27" x14ac:dyDescent="0.3">
      <c r="A49" s="65"/>
      <c r="B49" s="68">
        <f>ASIC!D50</f>
        <v>2018</v>
      </c>
      <c r="C49" s="66">
        <f>IF(ASIC!$H50=$C$1,ASIC!$Y50)</f>
        <v>445</v>
      </c>
      <c r="D49" s="66" t="b">
        <f>IF(ASIC!$H50=$D$1,ASIC!$Y50)</f>
        <v>0</v>
      </c>
      <c r="E49" s="66" t="b">
        <f>IF(ASIC!$H50=$E$1,ASIC!$Y50)</f>
        <v>0</v>
      </c>
      <c r="F49" s="66" t="b">
        <f>IF(ASIC!$H50=$F$1,ASIC!$Y50)</f>
        <v>0</v>
      </c>
      <c r="G49" s="66" t="b">
        <f>IF(ASIC!$H50=$G$1,ASIC!$Y50)</f>
        <v>0</v>
      </c>
      <c r="J49"/>
      <c r="K49"/>
      <c r="L49" s="70">
        <f>ASIC!D50</f>
        <v>2018</v>
      </c>
      <c r="M49" s="73">
        <v>445</v>
      </c>
      <c r="N49" s="73"/>
      <c r="O49" s="70"/>
      <c r="P49" s="70"/>
      <c r="Q49" s="70"/>
      <c r="R49" s="70">
        <v>2018</v>
      </c>
      <c r="S49" s="63">
        <f t="shared" si="0"/>
        <v>445</v>
      </c>
      <c r="T49" s="63"/>
      <c r="V49" s="70">
        <f>ASIC!D50</f>
        <v>2018</v>
      </c>
      <c r="W49" s="73">
        <f>IF(ASIC!H50=Data!W$1,ASIC!Y50)</f>
        <v>445</v>
      </c>
      <c r="X49" s="73" t="b">
        <f>IF(ASIC!H50=Data!X$1,ASIC!Y50)</f>
        <v>0</v>
      </c>
      <c r="Y49" s="73" t="b">
        <f>IF(ASIC!H50=Data!Y$1,ASIC!Y50)</f>
        <v>0</v>
      </c>
      <c r="Z49" s="73" t="b">
        <f>IF(ASIC!H50=Data!Z$1,ASIC!Y50)</f>
        <v>0</v>
      </c>
      <c r="AA49" s="73" t="b">
        <f>IF(ASIC!H50=Data!AA$1,ASIC!Y50)</f>
        <v>0</v>
      </c>
    </row>
    <row r="50" spans="1:27" x14ac:dyDescent="0.3">
      <c r="A50" s="65"/>
      <c r="B50" s="68">
        <f>ASIC!D51</f>
        <v>2018</v>
      </c>
      <c r="C50" s="66">
        <f>IF(ASIC!$H51=$C$1,ASIC!$Y51)</f>
        <v>890</v>
      </c>
      <c r="D50" s="66" t="b">
        <f>IF(ASIC!$H51=$D$1,ASIC!$Y51)</f>
        <v>0</v>
      </c>
      <c r="E50" s="66" t="b">
        <f>IF(ASIC!$H51=$E$1,ASIC!$Y51)</f>
        <v>0</v>
      </c>
      <c r="F50" s="66" t="b">
        <f>IF(ASIC!$H51=$F$1,ASIC!$Y51)</f>
        <v>0</v>
      </c>
      <c r="G50" s="66" t="b">
        <f>IF(ASIC!$H51=$G$1,ASIC!$Y51)</f>
        <v>0</v>
      </c>
      <c r="J50"/>
      <c r="K50"/>
      <c r="L50" s="70">
        <f>ASIC!D51</f>
        <v>2018</v>
      </c>
      <c r="M50" s="73">
        <v>890</v>
      </c>
      <c r="N50" s="73"/>
      <c r="O50" s="70"/>
      <c r="P50" s="70"/>
      <c r="Q50" s="70"/>
      <c r="R50" s="70">
        <v>2018</v>
      </c>
      <c r="S50" s="63">
        <f t="shared" si="0"/>
        <v>890</v>
      </c>
      <c r="T50" s="63"/>
      <c r="V50" s="70">
        <f>ASIC!D51</f>
        <v>2018</v>
      </c>
      <c r="W50" s="73">
        <f>IF(ASIC!H51=Data!W$1,ASIC!Y51)</f>
        <v>890</v>
      </c>
      <c r="X50" s="73" t="b">
        <f>IF(ASIC!H51=Data!X$1,ASIC!Y51)</f>
        <v>0</v>
      </c>
      <c r="Y50" s="73" t="b">
        <f>IF(ASIC!H51=Data!Y$1,ASIC!Y51)</f>
        <v>0</v>
      </c>
      <c r="Z50" s="73" t="b">
        <f>IF(ASIC!H51=Data!Z$1,ASIC!Y51)</f>
        <v>0</v>
      </c>
      <c r="AA50" s="73" t="b">
        <f>IF(ASIC!H51=Data!AA$1,ASIC!Y51)</f>
        <v>0</v>
      </c>
    </row>
    <row r="51" spans="1:27" x14ac:dyDescent="0.3">
      <c r="A51" s="65"/>
      <c r="B51" s="68">
        <f>ASIC!D52</f>
        <v>2018</v>
      </c>
      <c r="C51" s="66" t="str">
        <f>IF(ASIC!$H52=$C$1,ASIC!$Y52)</f>
        <v>--</v>
      </c>
      <c r="D51" s="66" t="b">
        <f>IF(ASIC!$H52=$D$1,ASIC!$Y52)</f>
        <v>0</v>
      </c>
      <c r="E51" s="66" t="b">
        <f>IF(ASIC!$H52=$E$1,ASIC!$Y52)</f>
        <v>0</v>
      </c>
      <c r="F51" s="66" t="b">
        <f>IF(ASIC!$H52=$F$1,ASIC!$Y52)</f>
        <v>0</v>
      </c>
      <c r="G51" s="66" t="b">
        <f>IF(ASIC!$H52=$G$1,ASIC!$Y52)</f>
        <v>0</v>
      </c>
      <c r="J51"/>
      <c r="K51"/>
      <c r="L51" s="70">
        <f>ASIC!D52</f>
        <v>2018</v>
      </c>
      <c r="M51" s="182"/>
      <c r="N51" s="182"/>
      <c r="O51" s="66"/>
      <c r="P51" s="66"/>
      <c r="Q51" s="66"/>
      <c r="R51" s="70">
        <v>2018</v>
      </c>
      <c r="S51" s="63"/>
      <c r="T51" s="63"/>
      <c r="V51" s="70"/>
      <c r="W51" s="73"/>
      <c r="X51" s="73"/>
      <c r="Y51" s="73"/>
      <c r="Z51" s="73"/>
      <c r="AA51" s="73"/>
    </row>
    <row r="52" spans="1:27" x14ac:dyDescent="0.3">
      <c r="A52" s="65"/>
      <c r="B52" s="68">
        <f>ASIC!D53</f>
        <v>2018</v>
      </c>
      <c r="C52" s="66" t="b">
        <f>IF(ASIC!$H53=$C$1,ASIC!$Y53)</f>
        <v>0</v>
      </c>
      <c r="D52" s="66" t="str">
        <f>IF(ASIC!$H53=$D$1,ASIC!$Y53)</f>
        <v>--</v>
      </c>
      <c r="E52" s="66" t="b">
        <f>IF(ASIC!$H53=$E$1,ASIC!$Y53)</f>
        <v>0</v>
      </c>
      <c r="F52" s="66" t="b">
        <f>IF(ASIC!$H53=$F$1,ASIC!$Y53)</f>
        <v>0</v>
      </c>
      <c r="G52" s="66" t="b">
        <f>IF(ASIC!$H53=$G$1,ASIC!$Y53)</f>
        <v>0</v>
      </c>
      <c r="J52"/>
      <c r="K52"/>
      <c r="L52" s="70">
        <f>ASIC!D53</f>
        <v>2018</v>
      </c>
      <c r="M52" s="182"/>
      <c r="N52" s="182"/>
      <c r="O52" s="66"/>
      <c r="P52" s="66"/>
      <c r="Q52" s="66"/>
      <c r="R52" s="70">
        <v>2018</v>
      </c>
      <c r="S52" s="63"/>
      <c r="V52" s="70"/>
    </row>
    <row r="53" spans="1:27" x14ac:dyDescent="0.3">
      <c r="A53" s="65"/>
      <c r="B53" s="68">
        <f>ASIC!D54</f>
        <v>2018</v>
      </c>
      <c r="C53" s="66" t="b">
        <f>IF(ASIC!$H54=$C$1,ASIC!$Y54)</f>
        <v>0</v>
      </c>
      <c r="D53" s="66" t="b">
        <f>IF(ASIC!$H54=$D$1,ASIC!$Y54)</f>
        <v>0</v>
      </c>
      <c r="E53" s="66" t="b">
        <f>IF(ASIC!$H54=$E$1,ASIC!$Y54)</f>
        <v>0</v>
      </c>
      <c r="F53" s="66" t="b">
        <f>IF(ASIC!$H54=$F$1,ASIC!$Y54)</f>
        <v>0</v>
      </c>
      <c r="G53" s="66">
        <f>IF(ASIC!$H54=$G$1,ASIC!$Y54)</f>
        <v>4518.75</v>
      </c>
      <c r="J53"/>
      <c r="K53"/>
      <c r="L53" s="70">
        <f>ASIC!D54</f>
        <v>2018</v>
      </c>
      <c r="M53" s="182"/>
      <c r="N53" s="182"/>
      <c r="O53" s="66"/>
      <c r="P53" s="66"/>
      <c r="Q53" s="70">
        <v>4518.75</v>
      </c>
      <c r="R53" s="70">
        <v>2018</v>
      </c>
      <c r="S53" s="63">
        <f t="shared" si="0"/>
        <v>4518.75</v>
      </c>
      <c r="V53" s="70"/>
    </row>
    <row r="54" spans="1:27" x14ac:dyDescent="0.3">
      <c r="A54" s="65"/>
      <c r="B54" s="68">
        <f>ASIC!D55</f>
        <v>2018</v>
      </c>
      <c r="C54" s="66">
        <f>IF(ASIC!$H55=$C$1,ASIC!$Y55)</f>
        <v>0</v>
      </c>
      <c r="D54" s="66" t="b">
        <f>IF(ASIC!$H55=$D$1,ASIC!$Y55)</f>
        <v>0</v>
      </c>
      <c r="E54" s="66" t="b">
        <f>IF(ASIC!$H55=$E$1,ASIC!$Y55)</f>
        <v>0</v>
      </c>
      <c r="F54" s="66" t="b">
        <f>IF(ASIC!$H55=$F$1,ASIC!$Y55)</f>
        <v>0</v>
      </c>
      <c r="G54" s="66" t="b">
        <f>IF(ASIC!$H55=$G$1,ASIC!$Y55)</f>
        <v>0</v>
      </c>
      <c r="J54"/>
      <c r="K54"/>
      <c r="L54" s="70">
        <f>ASIC!D55</f>
        <v>2018</v>
      </c>
      <c r="M54" s="182"/>
      <c r="N54" s="182"/>
      <c r="O54" s="66"/>
      <c r="P54" s="66"/>
      <c r="Q54" s="66"/>
      <c r="R54" s="70">
        <v>2018</v>
      </c>
      <c r="S54" s="63"/>
      <c r="V54" s="105"/>
    </row>
    <row r="55" spans="1:27" x14ac:dyDescent="0.3">
      <c r="A55" s="65"/>
      <c r="B55" s="68"/>
      <c r="C55" s="66"/>
      <c r="D55" s="66"/>
      <c r="E55" s="66"/>
      <c r="F55" s="66"/>
      <c r="G55" s="66"/>
      <c r="J55"/>
      <c r="K55"/>
      <c r="L55" s="105"/>
      <c r="M55" s="72"/>
      <c r="N55" s="72"/>
      <c r="V55" s="105"/>
    </row>
    <row r="56" spans="1:27" x14ac:dyDescent="0.3">
      <c r="A56" s="65"/>
      <c r="B56" s="76"/>
      <c r="C56" s="8"/>
      <c r="D56" s="8"/>
      <c r="E56" s="8"/>
      <c r="F56" s="8"/>
      <c r="G56" s="8"/>
      <c r="J56"/>
      <c r="K56"/>
      <c r="L56" s="105"/>
      <c r="M56" s="72"/>
      <c r="N56" s="72"/>
      <c r="V56" s="105"/>
    </row>
    <row r="57" spans="1:27" x14ac:dyDescent="0.3">
      <c r="A57" s="65"/>
      <c r="J57"/>
      <c r="K57"/>
      <c r="L57" s="105"/>
      <c r="M57" s="72"/>
      <c r="N57" s="72"/>
    </row>
    <row r="58" spans="1:27" x14ac:dyDescent="0.3">
      <c r="A58" s="65"/>
      <c r="J58"/>
      <c r="K58"/>
      <c r="L58" s="105"/>
      <c r="M58" s="72"/>
      <c r="N58" s="72"/>
    </row>
    <row r="59" spans="1:27" x14ac:dyDescent="0.3">
      <c r="A59" s="65"/>
      <c r="J59"/>
      <c r="K59"/>
      <c r="M59" s="72"/>
      <c r="N59" s="72"/>
    </row>
    <row r="60" spans="1:27" x14ac:dyDescent="0.3">
      <c r="B60" s="66" t="s">
        <v>119</v>
      </c>
      <c r="C60" s="66" t="s">
        <v>110</v>
      </c>
      <c r="D60" s="66" t="s">
        <v>111</v>
      </c>
      <c r="E60" s="66" t="s">
        <v>112</v>
      </c>
      <c r="F60" s="66" t="s">
        <v>128</v>
      </c>
      <c r="G60" s="66" t="s">
        <v>138</v>
      </c>
      <c r="J60"/>
      <c r="K60"/>
      <c r="L60" t="s">
        <v>119</v>
      </c>
      <c r="M60" s="72" t="s">
        <v>110</v>
      </c>
      <c r="N60" s="72" t="s">
        <v>111</v>
      </c>
      <c r="O60" t="s">
        <v>112</v>
      </c>
      <c r="P60" t="s">
        <v>128</v>
      </c>
      <c r="Q60" t="s">
        <v>138</v>
      </c>
      <c r="S60" s="69" t="s">
        <v>240</v>
      </c>
      <c r="V60" s="74" t="s">
        <v>283</v>
      </c>
      <c r="W60" s="75" t="s">
        <v>110</v>
      </c>
      <c r="X60" s="75" t="s">
        <v>111</v>
      </c>
      <c r="Y60" s="75" t="s">
        <v>112</v>
      </c>
      <c r="Z60" s="72" t="s">
        <v>128</v>
      </c>
      <c r="AA60" s="72" t="s">
        <v>138</v>
      </c>
    </row>
    <row r="61" spans="1:27" x14ac:dyDescent="0.3">
      <c r="B61" s="68">
        <f>ASIC!D3</f>
        <v>2000</v>
      </c>
      <c r="C61" s="66">
        <f>IF(ASIC!H3=$C$1,ASIC!J3)</f>
        <v>1.3</v>
      </c>
      <c r="D61" s="66" t="b">
        <f>IF(ASIC!H3=$D$60,ASIC!J3)</f>
        <v>0</v>
      </c>
      <c r="E61" s="66" t="b">
        <f>IF(ASIC!H3=$E$60,ASIC!J3)</f>
        <v>0</v>
      </c>
      <c r="F61" s="66" t="b">
        <f>IF(ASIC!H3=$F$60,ASIC!J3)</f>
        <v>0</v>
      </c>
      <c r="G61" s="66" t="b">
        <f>IF(ASIC!H3=$G$60,ASIC!J3)</f>
        <v>0</v>
      </c>
      <c r="J61"/>
      <c r="K61"/>
      <c r="L61" s="70">
        <v>2000</v>
      </c>
      <c r="M61" s="62">
        <v>1.3</v>
      </c>
      <c r="N61" s="62"/>
      <c r="O61" s="62"/>
      <c r="P61" s="62"/>
      <c r="Q61" s="62"/>
      <c r="R61" s="70">
        <v>2000</v>
      </c>
      <c r="S61" s="104">
        <f>SUM(M61:Q61)</f>
        <v>1.3</v>
      </c>
      <c r="V61" s="70">
        <f>ASIC!D3</f>
        <v>2000</v>
      </c>
      <c r="W61" s="73">
        <f>IF(ASIC!H3=Data!W$60,ASIC!J3)</f>
        <v>1.3</v>
      </c>
      <c r="X61" s="73" t="b">
        <f>IF(ASIC!H3=Data!X$60,ASIC!J3)</f>
        <v>0</v>
      </c>
      <c r="Y61" s="73" t="b">
        <f>IF(ASIC!H3=Data!Y$60,ASIC!J3)</f>
        <v>0</v>
      </c>
      <c r="Z61" s="73" t="b">
        <f>IF(ASIC!H3=Data!Z$60,ASIC!J3)</f>
        <v>0</v>
      </c>
      <c r="AA61" s="73" t="b">
        <f>IF(ASIC!H3=Data!AA$60,ASIC!J3)</f>
        <v>0</v>
      </c>
    </row>
    <row r="62" spans="1:27" x14ac:dyDescent="0.3">
      <c r="B62" s="68">
        <f>ASIC!D4</f>
        <v>2004</v>
      </c>
      <c r="C62" s="66" t="b">
        <f>IF(ASIC!H4=$C$1,ASIC!J4)</f>
        <v>0</v>
      </c>
      <c r="D62" s="66">
        <f>IF(ASIC!H4=$D$60,ASIC!J4)</f>
        <v>2</v>
      </c>
      <c r="E62" s="66" t="b">
        <f>IF(ASIC!H4=$E$60,ASIC!J4)</f>
        <v>0</v>
      </c>
      <c r="F62" s="66" t="b">
        <f>IF(ASIC!H4=$F$60,ASIC!J4)</f>
        <v>0</v>
      </c>
      <c r="G62" s="66" t="b">
        <f>IF(ASIC!H4=$G$60,ASIC!J4)</f>
        <v>0</v>
      </c>
      <c r="J62"/>
      <c r="K62"/>
      <c r="L62" s="70">
        <v>2004</v>
      </c>
      <c r="M62" s="62"/>
      <c r="N62" s="62">
        <v>2</v>
      </c>
      <c r="O62" s="62"/>
      <c r="P62" s="62"/>
      <c r="Q62" s="62"/>
      <c r="R62" s="70">
        <v>2004</v>
      </c>
      <c r="S62" s="104">
        <f t="shared" ref="S62:S113" si="1">SUM(M62:Q62)</f>
        <v>2</v>
      </c>
      <c r="T62" s="72"/>
      <c r="V62" s="70">
        <f>ASIC!D4</f>
        <v>2004</v>
      </c>
      <c r="W62" s="73" t="b">
        <f>IF(ASIC!H4=Data!W$60,ASIC!J4)</f>
        <v>0</v>
      </c>
      <c r="X62" s="73">
        <f>IF(ASIC!H4=Data!X$60,ASIC!J4)</f>
        <v>2</v>
      </c>
      <c r="Y62" s="73" t="b">
        <f>IF(ASIC!H4=Data!Y$60,ASIC!J4)</f>
        <v>0</v>
      </c>
      <c r="Z62" s="73" t="b">
        <f>IF(ASIC!H4=Data!Z$60,ASIC!J4)</f>
        <v>0</v>
      </c>
      <c r="AA62" s="73" t="b">
        <f>IF(ASIC!H4=Data!AA$60,ASIC!J4)</f>
        <v>0</v>
      </c>
    </row>
    <row r="63" spans="1:27" x14ac:dyDescent="0.3">
      <c r="B63" s="68">
        <f>ASIC!D5</f>
        <v>2005</v>
      </c>
      <c r="C63" s="66" t="b">
        <f>IF(ASIC!H5=$C$1,ASIC!J5)</f>
        <v>0</v>
      </c>
      <c r="D63" s="66">
        <f>IF(ASIC!H5=$D$60,ASIC!J5)</f>
        <v>4.82</v>
      </c>
      <c r="E63" s="66" t="b">
        <f>IF(ASIC!H5=$E$60,ASIC!J5)</f>
        <v>0</v>
      </c>
      <c r="F63" s="66" t="b">
        <f>IF(ASIC!H5=$F$60,ASIC!J5)</f>
        <v>0</v>
      </c>
      <c r="G63" s="66" t="b">
        <f>IF(ASIC!H5=$G$60,ASIC!J5)</f>
        <v>0</v>
      </c>
      <c r="J63"/>
      <c r="K63"/>
      <c r="L63" s="70">
        <v>2005</v>
      </c>
      <c r="M63" s="62"/>
      <c r="N63" s="62">
        <v>4.82</v>
      </c>
      <c r="O63" s="62"/>
      <c r="P63" s="62"/>
      <c r="Q63" s="62"/>
      <c r="R63" s="70">
        <v>2005</v>
      </c>
      <c r="S63" s="104">
        <f t="shared" si="1"/>
        <v>4.82</v>
      </c>
      <c r="V63" s="70">
        <f>ASIC!D5</f>
        <v>2005</v>
      </c>
      <c r="W63" s="73" t="b">
        <f>IF(ASIC!H5=Data!W$60,ASIC!J5)</f>
        <v>0</v>
      </c>
      <c r="X63" s="73">
        <f>IF(ASIC!H5=Data!X$60,ASIC!J5)</f>
        <v>4.82</v>
      </c>
      <c r="Y63" s="73" t="b">
        <f>IF(ASIC!H5=Data!Y$60,ASIC!J5)</f>
        <v>0</v>
      </c>
      <c r="Z63" s="73" t="b">
        <f>IF(ASIC!H5=Data!Z$60,ASIC!J5)</f>
        <v>0</v>
      </c>
      <c r="AA63" s="73" t="b">
        <f>IF(ASIC!H5=Data!AA$60,ASIC!J5)</f>
        <v>0</v>
      </c>
    </row>
    <row r="64" spans="1:27" x14ac:dyDescent="0.3">
      <c r="B64" s="68">
        <f>ASIC!D6</f>
        <v>2007</v>
      </c>
      <c r="C64" s="66" t="b">
        <f>IF(ASIC!H6=$C$1,ASIC!J6)</f>
        <v>0</v>
      </c>
      <c r="D64" s="66" t="b">
        <f>IF(ASIC!H6=$D$60,ASIC!J6)</f>
        <v>0</v>
      </c>
      <c r="E64" s="66">
        <f>IF(ASIC!H6=$E$60,ASIC!J6)</f>
        <v>3.04</v>
      </c>
      <c r="F64" s="66" t="b">
        <f>IF(ASIC!H6=$F$60,ASIC!J6)</f>
        <v>0</v>
      </c>
      <c r="G64" s="66" t="b">
        <f>IF(ASIC!H6=$G$60,ASIC!J6)</f>
        <v>0</v>
      </c>
      <c r="J64"/>
      <c r="K64"/>
      <c r="L64" s="70">
        <v>2007</v>
      </c>
      <c r="M64" s="62"/>
      <c r="N64" s="62"/>
      <c r="O64" s="62">
        <v>3.04</v>
      </c>
      <c r="P64" s="62"/>
      <c r="Q64" s="62"/>
      <c r="R64" s="70">
        <v>2007</v>
      </c>
      <c r="S64" s="104">
        <f t="shared" si="1"/>
        <v>3.04</v>
      </c>
      <c r="V64" s="70">
        <f>ASIC!D6</f>
        <v>2007</v>
      </c>
      <c r="W64" s="73" t="b">
        <f>IF(ASIC!H6=Data!W$60,ASIC!J6)</f>
        <v>0</v>
      </c>
      <c r="X64" s="73" t="b">
        <f>IF(ASIC!H6=Data!X$60,ASIC!J6)</f>
        <v>0</v>
      </c>
      <c r="Y64" s="73">
        <f>IF(ASIC!H6=Data!Y$60,ASIC!J6)</f>
        <v>3.04</v>
      </c>
      <c r="Z64" s="73" t="b">
        <f>IF(ASIC!H6=Data!Z$60,ASIC!J6)</f>
        <v>0</v>
      </c>
      <c r="AA64" s="73" t="b">
        <f>IF(ASIC!H6=Data!AA$60,ASIC!J6)</f>
        <v>0</v>
      </c>
    </row>
    <row r="65" spans="2:27" x14ac:dyDescent="0.3">
      <c r="B65" s="68">
        <f>ASIC!D7</f>
        <v>2008</v>
      </c>
      <c r="C65" s="66" t="b">
        <f>IF(ASIC!H7=$C$1,ASIC!J7)</f>
        <v>0</v>
      </c>
      <c r="D65" s="66" t="b">
        <f>IF(ASIC!H7=$D$60,ASIC!J7)</f>
        <v>0</v>
      </c>
      <c r="E65" s="66">
        <f>IF(ASIC!H7=$E$60,ASIC!J7)</f>
        <v>3.04</v>
      </c>
      <c r="F65" s="66" t="b">
        <f>IF(ASIC!H7=$F$60,ASIC!J7)</f>
        <v>0</v>
      </c>
      <c r="G65" s="66" t="b">
        <f>IF(ASIC!H7=$G$60,ASIC!J7)</f>
        <v>0</v>
      </c>
      <c r="J65"/>
      <c r="K65"/>
      <c r="L65" s="70">
        <v>2008</v>
      </c>
      <c r="M65" s="62"/>
      <c r="N65" s="62"/>
      <c r="O65" s="62">
        <v>3.04</v>
      </c>
      <c r="P65" s="62"/>
      <c r="Q65" s="62"/>
      <c r="R65" s="70">
        <v>2008</v>
      </c>
      <c r="S65" s="104">
        <f t="shared" si="1"/>
        <v>3.04</v>
      </c>
      <c r="V65" s="70">
        <f>ASIC!D7</f>
        <v>2008</v>
      </c>
      <c r="W65" s="73" t="b">
        <f>IF(ASIC!H7=Data!W$60,ASIC!J7)</f>
        <v>0</v>
      </c>
      <c r="X65" s="73" t="b">
        <f>IF(ASIC!H7=Data!X$60,ASIC!J7)</f>
        <v>0</v>
      </c>
      <c r="Y65" s="73">
        <f>IF(ASIC!H7=Data!Y$60,ASIC!J7)</f>
        <v>3.04</v>
      </c>
      <c r="Z65" s="73" t="b">
        <f>IF(ASIC!H7=Data!Z$60,ASIC!J7)</f>
        <v>0</v>
      </c>
      <c r="AA65" s="73" t="b">
        <f>IF(ASIC!H7=Data!AA$60,ASIC!J7)</f>
        <v>0</v>
      </c>
    </row>
    <row r="66" spans="2:27" x14ac:dyDescent="0.3">
      <c r="B66" s="68">
        <f>ASIC!D8</f>
        <v>2008</v>
      </c>
      <c r="C66" s="66" t="b">
        <f>IF(ASIC!H8=$C$1,ASIC!J8)</f>
        <v>0</v>
      </c>
      <c r="D66" s="66" t="b">
        <f>IF(ASIC!H8=$D$60,ASIC!J8)</f>
        <v>0</v>
      </c>
      <c r="E66" s="66">
        <f>IF(ASIC!H8=$E$60,ASIC!J8)</f>
        <v>3.78</v>
      </c>
      <c r="F66" s="66" t="b">
        <f>IF(ASIC!H8=$F$60,ASIC!J8)</f>
        <v>0</v>
      </c>
      <c r="G66" s="66" t="b">
        <f>IF(ASIC!H8=$G$60,ASIC!J8)</f>
        <v>0</v>
      </c>
      <c r="J66"/>
      <c r="K66"/>
      <c r="L66" s="70">
        <v>2008</v>
      </c>
      <c r="M66" s="62"/>
      <c r="N66" s="62"/>
      <c r="O66" s="62">
        <v>3.78</v>
      </c>
      <c r="P66" s="62"/>
      <c r="Q66" s="62"/>
      <c r="R66" s="70">
        <v>2008</v>
      </c>
      <c r="S66" s="104">
        <f t="shared" si="1"/>
        <v>3.78</v>
      </c>
      <c r="V66" s="70">
        <f>ASIC!D8</f>
        <v>2008</v>
      </c>
      <c r="W66" s="73" t="b">
        <f>IF(ASIC!H8=Data!W$60,ASIC!J8)</f>
        <v>0</v>
      </c>
      <c r="X66" s="73" t="b">
        <f>IF(ASIC!H8=Data!X$60,ASIC!J8)</f>
        <v>0</v>
      </c>
      <c r="Y66" s="73">
        <f>IF(ASIC!H8=Data!Y$60,ASIC!J8)</f>
        <v>3.78</v>
      </c>
      <c r="Z66" s="73" t="b">
        <f>IF(ASIC!H8=Data!Z$60,ASIC!J8)</f>
        <v>0</v>
      </c>
      <c r="AA66" s="73" t="b">
        <f>IF(ASIC!H8=Data!AA$60,ASIC!J8)</f>
        <v>0</v>
      </c>
    </row>
    <row r="67" spans="2:27" x14ac:dyDescent="0.3">
      <c r="B67" s="68">
        <f>ASIC!D9</f>
        <v>2008</v>
      </c>
      <c r="C67" s="66">
        <f>IF(ASIC!H9=$C$1,ASIC!J9)</f>
        <v>5.5E-2</v>
      </c>
      <c r="D67" s="66" t="b">
        <f>IF(ASIC!H9=$D$60,ASIC!J9)</f>
        <v>0</v>
      </c>
      <c r="E67" s="66" t="b">
        <f>IF(ASIC!H9=$E$60,ASIC!J9)</f>
        <v>0</v>
      </c>
      <c r="F67" s="66" t="b">
        <f>IF(ASIC!H9=$F$60,ASIC!J9)</f>
        <v>0</v>
      </c>
      <c r="G67" s="66" t="b">
        <f>IF(ASIC!H9=$G$60,ASIC!J9)</f>
        <v>0</v>
      </c>
      <c r="J67"/>
      <c r="K67"/>
      <c r="L67" s="70">
        <v>2008</v>
      </c>
      <c r="M67" s="62">
        <v>5.5E-2</v>
      </c>
      <c r="N67" s="62"/>
      <c r="O67" s="62"/>
      <c r="P67" s="62"/>
      <c r="Q67" s="62"/>
      <c r="R67" s="70">
        <v>2008</v>
      </c>
      <c r="S67" s="104">
        <f t="shared" si="1"/>
        <v>5.5E-2</v>
      </c>
      <c r="V67" s="70">
        <f>ASIC!D9</f>
        <v>2008</v>
      </c>
      <c r="W67" s="73">
        <f>IF(ASIC!H9=Data!W$60,ASIC!J9)</f>
        <v>5.5E-2</v>
      </c>
      <c r="X67" s="73" t="b">
        <f>IF(ASIC!H9=Data!X$60,ASIC!J9)</f>
        <v>0</v>
      </c>
      <c r="Y67" s="73" t="b">
        <f>IF(ASIC!H9=Data!Y$60,ASIC!J9)</f>
        <v>0</v>
      </c>
      <c r="Z67" s="73" t="b">
        <f>IF(ASIC!H9=Data!Z$60,ASIC!J9)</f>
        <v>0</v>
      </c>
      <c r="AA67" s="73" t="b">
        <f>IF(ASIC!H9=Data!AA$60,ASIC!J9)</f>
        <v>0</v>
      </c>
    </row>
    <row r="68" spans="2:27" x14ac:dyDescent="0.3">
      <c r="B68" s="68">
        <f>ASIC!D10</f>
        <v>2009</v>
      </c>
      <c r="C68" s="66">
        <f>IF(ASIC!H10=$C$1,ASIC!J10)</f>
        <v>8.9999999999999993E-3</v>
      </c>
      <c r="D68" s="66" t="b">
        <f>IF(ASIC!H10=$D$60,ASIC!J10)</f>
        <v>0</v>
      </c>
      <c r="E68" s="66" t="b">
        <f>IF(ASIC!H10=$E$60,ASIC!J10)</f>
        <v>0</v>
      </c>
      <c r="F68" s="66" t="b">
        <f>IF(ASIC!H10=$F$60,ASIC!J10)</f>
        <v>0</v>
      </c>
      <c r="G68" s="66" t="b">
        <f>IF(ASIC!H10=$G$60,ASIC!J10)</f>
        <v>0</v>
      </c>
      <c r="J68"/>
      <c r="K68"/>
      <c r="L68" s="70">
        <v>2009</v>
      </c>
      <c r="M68" s="62">
        <v>8.9999999999999993E-3</v>
      </c>
      <c r="N68" s="62"/>
      <c r="O68" s="62"/>
      <c r="P68" s="62"/>
      <c r="Q68" s="62"/>
      <c r="R68" s="70">
        <v>2009</v>
      </c>
      <c r="S68" s="104">
        <f t="shared" si="1"/>
        <v>8.9999999999999993E-3</v>
      </c>
      <c r="V68" s="70">
        <f>ASIC!D10</f>
        <v>2009</v>
      </c>
      <c r="W68" s="73">
        <f>IF(ASIC!H10=Data!W$60,ASIC!J10)</f>
        <v>8.9999999999999993E-3</v>
      </c>
      <c r="X68" s="73" t="b">
        <f>IF(ASIC!H10=Data!X$60,ASIC!J10)</f>
        <v>0</v>
      </c>
      <c r="Y68" s="73" t="b">
        <f>IF(ASIC!H10=Data!Y$60,ASIC!J10)</f>
        <v>0</v>
      </c>
      <c r="Z68" s="73" t="b">
        <f>IF(ASIC!H10=Data!Z$60,ASIC!J10)</f>
        <v>0</v>
      </c>
      <c r="AA68" s="73" t="b">
        <f>IF(ASIC!H10=Data!AA$60,ASIC!J10)</f>
        <v>0</v>
      </c>
    </row>
    <row r="69" spans="2:27" x14ac:dyDescent="0.3">
      <c r="B69" s="68">
        <f>ASIC!D11</f>
        <v>2010</v>
      </c>
      <c r="C69" s="66">
        <f>IF(ASIC!H11=$C$1,ASIC!J11)</f>
        <v>0</v>
      </c>
      <c r="D69" s="66" t="b">
        <f>IF(ASIC!H11=$D$60,ASIC!J11)</f>
        <v>0</v>
      </c>
      <c r="E69" s="66" t="b">
        <f>IF(ASIC!H11=$E$60,ASIC!J11)</f>
        <v>0</v>
      </c>
      <c r="F69" s="66" t="b">
        <f>IF(ASIC!H11=$F$60,ASIC!J11)</f>
        <v>0</v>
      </c>
      <c r="G69" s="66" t="b">
        <f>IF(ASIC!H11=$G$60,ASIC!J11)</f>
        <v>0</v>
      </c>
      <c r="J69"/>
      <c r="K69"/>
      <c r="L69" s="70">
        <v>2010</v>
      </c>
      <c r="M69" s="62"/>
      <c r="N69" s="62"/>
      <c r="O69" s="62"/>
      <c r="P69" s="62"/>
      <c r="Q69" s="62"/>
      <c r="R69" s="70">
        <v>2010</v>
      </c>
      <c r="S69" s="104"/>
      <c r="V69" s="70">
        <f>ASIC!D11</f>
        <v>2010</v>
      </c>
      <c r="W69" s="73">
        <f>IF(ASIC!H11=Data!W$60,ASIC!J11)</f>
        <v>0</v>
      </c>
      <c r="X69" s="73" t="b">
        <f>IF(ASIC!H11=Data!X$60,ASIC!J11)</f>
        <v>0</v>
      </c>
      <c r="Y69" s="73" t="b">
        <f>IF(ASIC!H11=Data!Y$60,ASIC!J11)</f>
        <v>0</v>
      </c>
      <c r="Z69" s="73" t="b">
        <f>IF(ASIC!H11=Data!Z$60,ASIC!J11)</f>
        <v>0</v>
      </c>
      <c r="AA69" s="73" t="b">
        <f>IF(ASIC!H11=Data!AA$60,ASIC!J11)</f>
        <v>0</v>
      </c>
    </row>
    <row r="70" spans="2:27" x14ac:dyDescent="0.3">
      <c r="B70" s="68">
        <f>ASIC!D12</f>
        <v>2011</v>
      </c>
      <c r="C70" s="66" t="b">
        <f>IF(ASIC!H12=$C$1,ASIC!J12)</f>
        <v>0</v>
      </c>
      <c r="D70" s="66" t="b">
        <f>IF(ASIC!H12=$D$60,ASIC!J12)</f>
        <v>0</v>
      </c>
      <c r="E70" s="66">
        <f>IF(ASIC!H12=$E$60,ASIC!J12)</f>
        <v>4.9000000000000004</v>
      </c>
      <c r="F70" s="66" t="b">
        <f>IF(ASIC!H12=$F$60,ASIC!J12)</f>
        <v>0</v>
      </c>
      <c r="G70" s="66" t="b">
        <f>IF(ASIC!H12=$G$60,ASIC!J12)</f>
        <v>0</v>
      </c>
      <c r="J70"/>
      <c r="K70"/>
      <c r="L70" s="70">
        <v>2011</v>
      </c>
      <c r="M70" s="62"/>
      <c r="N70" s="62"/>
      <c r="O70" s="62">
        <v>4.9000000000000004</v>
      </c>
      <c r="P70" s="62"/>
      <c r="Q70" s="62"/>
      <c r="R70" s="70">
        <v>2011</v>
      </c>
      <c r="S70" s="104">
        <f t="shared" si="1"/>
        <v>4.9000000000000004</v>
      </c>
      <c r="V70" s="70">
        <f>ASIC!D12</f>
        <v>2011</v>
      </c>
      <c r="W70" s="73" t="b">
        <f>IF(ASIC!H12=Data!W$60,ASIC!J12)</f>
        <v>0</v>
      </c>
      <c r="X70" s="73" t="b">
        <f>IF(ASIC!H12=Data!X$60,ASIC!J12)</f>
        <v>0</v>
      </c>
      <c r="Y70" s="73">
        <f>IF(ASIC!H12=Data!Y$60,ASIC!J12)</f>
        <v>4.9000000000000004</v>
      </c>
      <c r="Z70" s="73" t="b">
        <f>IF(ASIC!H12=Data!Z$60,ASIC!J12)</f>
        <v>0</v>
      </c>
      <c r="AA70" s="73" t="b">
        <f>IF(ASIC!H12=Data!AA$60,ASIC!J12)</f>
        <v>0</v>
      </c>
    </row>
    <row r="71" spans="2:27" x14ac:dyDescent="0.3">
      <c r="B71" s="68">
        <f>ASIC!D13</f>
        <v>2011</v>
      </c>
      <c r="C71" s="66">
        <f>IF(ASIC!H13=$C$1,ASIC!J13)</f>
        <v>8.9999999999999993E-3</v>
      </c>
      <c r="D71" s="66" t="b">
        <f>IF(ASIC!H13=$D$60,ASIC!J13)</f>
        <v>0</v>
      </c>
      <c r="E71" s="66" t="b">
        <f>IF(ASIC!H13=$E$60,ASIC!J13)</f>
        <v>0</v>
      </c>
      <c r="F71" s="66" t="b">
        <f>IF(ASIC!H13=$F$60,ASIC!J13)</f>
        <v>0</v>
      </c>
      <c r="G71" s="66" t="b">
        <f>IF(ASIC!H13=$G$60,ASIC!J13)</f>
        <v>0</v>
      </c>
      <c r="J71"/>
      <c r="K71"/>
      <c r="L71" s="70">
        <v>2011</v>
      </c>
      <c r="M71" s="62">
        <v>8.9999999999999993E-3</v>
      </c>
      <c r="N71" s="62"/>
      <c r="O71" s="62"/>
      <c r="P71" s="62"/>
      <c r="Q71" s="62"/>
      <c r="R71" s="70">
        <v>2011</v>
      </c>
      <c r="S71" s="104">
        <f t="shared" si="1"/>
        <v>8.9999999999999993E-3</v>
      </c>
      <c r="V71" s="70">
        <f>ASIC!D13</f>
        <v>2011</v>
      </c>
      <c r="W71" s="73">
        <f>IF(ASIC!H13=Data!W$60,ASIC!J13)</f>
        <v>8.9999999999999993E-3</v>
      </c>
      <c r="X71" s="73" t="b">
        <f>IF(ASIC!H13=Data!X$60,ASIC!J13)</f>
        <v>0</v>
      </c>
      <c r="Y71" s="73" t="b">
        <f>IF(ASIC!H13=Data!Y$60,ASIC!J13)</f>
        <v>0</v>
      </c>
      <c r="Z71" s="73" t="b">
        <f>IF(ASIC!H13=Data!Z$60,ASIC!J13)</f>
        <v>0</v>
      </c>
      <c r="AA71" s="73" t="b">
        <f>IF(ASIC!H13=Data!AA$60,ASIC!J13)</f>
        <v>0</v>
      </c>
    </row>
    <row r="72" spans="2:27" x14ac:dyDescent="0.3">
      <c r="B72" s="68">
        <f>ASIC!D14</f>
        <v>2011</v>
      </c>
      <c r="C72" s="66" t="b">
        <f>IF(ASIC!H14=$C$1,ASIC!J14)</f>
        <v>0</v>
      </c>
      <c r="D72" s="66" t="b">
        <f>IF(ASIC!H14=$D$60,ASIC!J14)</f>
        <v>0</v>
      </c>
      <c r="E72" s="66" t="b">
        <f>IF(ASIC!H14=$E$60,ASIC!J14)</f>
        <v>0</v>
      </c>
      <c r="F72" s="66">
        <f>IF(ASIC!H14=$F$60,ASIC!J14)</f>
        <v>13</v>
      </c>
      <c r="G72" s="66" t="b">
        <f>IF(ASIC!H14=$G$60,ASIC!J14)</f>
        <v>0</v>
      </c>
      <c r="J72"/>
      <c r="K72"/>
      <c r="L72" s="70">
        <v>2011</v>
      </c>
      <c r="M72" s="62"/>
      <c r="N72" s="62"/>
      <c r="O72" s="62">
        <v>13</v>
      </c>
      <c r="P72" s="62"/>
      <c r="Q72" s="62"/>
      <c r="R72" s="70">
        <v>2011</v>
      </c>
      <c r="S72" s="104">
        <f t="shared" si="1"/>
        <v>13</v>
      </c>
      <c r="V72" s="70">
        <f>ASIC!D14</f>
        <v>2011</v>
      </c>
      <c r="W72" s="73" t="b">
        <f>IF(ASIC!H14=Data!W$60,ASIC!J14)</f>
        <v>0</v>
      </c>
      <c r="X72" s="73" t="b">
        <f>IF(ASIC!H14=Data!X$60,ASIC!J14)</f>
        <v>0</v>
      </c>
      <c r="Y72" s="73" t="b">
        <f>IF(ASIC!H14=Data!Y$60,ASIC!J14)</f>
        <v>0</v>
      </c>
      <c r="Z72" s="73">
        <f>IF(ASIC!H14=Data!Z$60,ASIC!J14)</f>
        <v>13</v>
      </c>
      <c r="AA72" s="73" t="b">
        <f>IF(ASIC!H14=Data!AA$60,ASIC!J14)</f>
        <v>0</v>
      </c>
    </row>
    <row r="73" spans="2:27" x14ac:dyDescent="0.3">
      <c r="B73" s="68">
        <f>ASIC!D15</f>
        <v>2012</v>
      </c>
      <c r="C73" s="66" t="b">
        <f>IF(ASIC!H15=$C$1,ASIC!J15)</f>
        <v>0</v>
      </c>
      <c r="D73" s="66" t="b">
        <f>IF(ASIC!H15=$D$60,ASIC!J15)</f>
        <v>0</v>
      </c>
      <c r="E73" s="66">
        <f>IF(ASIC!H15=$E$60,ASIC!J15)</f>
        <v>5</v>
      </c>
      <c r="F73" s="66" t="b">
        <f>IF(ASIC!H15=$F$60,ASIC!J15)</f>
        <v>0</v>
      </c>
      <c r="G73" s="66" t="b">
        <f>IF(ASIC!H15=$G$60,ASIC!J15)</f>
        <v>0</v>
      </c>
      <c r="J73"/>
      <c r="K73"/>
      <c r="L73" s="70">
        <v>2012</v>
      </c>
      <c r="M73" s="62"/>
      <c r="N73" s="62"/>
      <c r="O73" s="62">
        <v>5</v>
      </c>
      <c r="P73" s="62"/>
      <c r="Q73" s="62"/>
      <c r="R73" s="70">
        <v>2012</v>
      </c>
      <c r="S73" s="104">
        <f t="shared" si="1"/>
        <v>5</v>
      </c>
      <c r="V73" s="70">
        <f>ASIC!D15</f>
        <v>2012</v>
      </c>
      <c r="W73" s="73" t="b">
        <f>IF(ASIC!H15=Data!W$60,ASIC!J15)</f>
        <v>0</v>
      </c>
      <c r="X73" s="73" t="b">
        <f>IF(ASIC!H15=Data!X$60,ASIC!J15)</f>
        <v>0</v>
      </c>
      <c r="Y73" s="73">
        <f>IF(ASIC!H15=Data!Y$60,ASIC!J15)</f>
        <v>5</v>
      </c>
      <c r="Z73" s="73" t="b">
        <f>IF(ASIC!H15=Data!Z$60,ASIC!J15)</f>
        <v>0</v>
      </c>
      <c r="AA73" s="73" t="b">
        <f>IF(ASIC!H15=Data!AA$60,ASIC!J15)</f>
        <v>0</v>
      </c>
    </row>
    <row r="74" spans="2:27" x14ac:dyDescent="0.3">
      <c r="B74" s="68">
        <f>ASIC!D16</f>
        <v>2012</v>
      </c>
      <c r="C74" s="66" t="b">
        <f>IF(ASIC!H16=$C$1,ASIC!J16)</f>
        <v>0</v>
      </c>
      <c r="D74" s="66" t="b">
        <f>IF(ASIC!H16=$D$60,ASIC!J16)</f>
        <v>0</v>
      </c>
      <c r="E74" s="66">
        <f>IF(ASIC!H16=$E$60,ASIC!J16)</f>
        <v>6</v>
      </c>
      <c r="F74" s="66" t="b">
        <f>IF(ASIC!H16=$F$60,ASIC!J16)</f>
        <v>0</v>
      </c>
      <c r="G74" s="66" t="b">
        <f>IF(ASIC!H16=$G$60,ASIC!J16)</f>
        <v>0</v>
      </c>
      <c r="J74"/>
      <c r="K74"/>
      <c r="L74" s="70">
        <v>2012</v>
      </c>
      <c r="M74" s="62"/>
      <c r="N74" s="62"/>
      <c r="O74" s="62">
        <v>6</v>
      </c>
      <c r="P74" s="62"/>
      <c r="Q74" s="62"/>
      <c r="R74" s="70">
        <v>2012</v>
      </c>
      <c r="S74" s="104">
        <f t="shared" si="1"/>
        <v>6</v>
      </c>
      <c r="V74" s="70">
        <f>ASIC!D16</f>
        <v>2012</v>
      </c>
      <c r="W74" s="73" t="b">
        <f>IF(ASIC!H16=Data!W$60,ASIC!J16)</f>
        <v>0</v>
      </c>
      <c r="X74" s="73" t="b">
        <f>IF(ASIC!H16=Data!X$60,ASIC!J16)</f>
        <v>0</v>
      </c>
      <c r="Y74" s="73">
        <f>IF(ASIC!H16=Data!Y$60,ASIC!J16)</f>
        <v>6</v>
      </c>
      <c r="Z74" s="73" t="b">
        <f>IF(ASIC!H16=Data!Z$60,ASIC!J16)</f>
        <v>0</v>
      </c>
      <c r="AA74" s="73" t="b">
        <f>IF(ASIC!H16=Data!AA$60,ASIC!J16)</f>
        <v>0</v>
      </c>
    </row>
    <row r="75" spans="2:27" x14ac:dyDescent="0.3">
      <c r="B75" s="68">
        <f>ASIC!D17</f>
        <v>2012</v>
      </c>
      <c r="C75" s="66" t="b">
        <f>IF(ASIC!H17=$C$1,ASIC!J17)</f>
        <v>0</v>
      </c>
      <c r="D75" s="66">
        <f>IF(ASIC!H17=$D$60,ASIC!J17)</f>
        <v>4</v>
      </c>
      <c r="E75" s="66" t="b">
        <f>IF(ASIC!H17=$E$60,ASIC!J17)</f>
        <v>0</v>
      </c>
      <c r="F75" s="66" t="b">
        <f>IF(ASIC!H17=$F$60,ASIC!J17)</f>
        <v>0</v>
      </c>
      <c r="G75" s="66" t="b">
        <f>IF(ASIC!H17=$G$60,ASIC!J17)</f>
        <v>0</v>
      </c>
      <c r="J75"/>
      <c r="K75"/>
      <c r="L75" s="70">
        <v>2012</v>
      </c>
      <c r="M75" s="62"/>
      <c r="N75" s="62">
        <v>4</v>
      </c>
      <c r="O75" s="62"/>
      <c r="P75" s="62"/>
      <c r="Q75" s="62"/>
      <c r="R75" s="70">
        <v>2012</v>
      </c>
      <c r="S75" s="104">
        <f t="shared" si="1"/>
        <v>4</v>
      </c>
      <c r="V75" s="70">
        <f>ASIC!D17</f>
        <v>2012</v>
      </c>
      <c r="W75" s="73" t="b">
        <f>IF(ASIC!H17=Data!W$60,ASIC!J17)</f>
        <v>0</v>
      </c>
      <c r="X75" s="73">
        <f>IF(ASIC!H17=Data!X$60,ASIC!J17)</f>
        <v>4</v>
      </c>
      <c r="Y75" s="73" t="b">
        <f>IF(ASIC!H17=Data!Y$60,ASIC!J17)</f>
        <v>0</v>
      </c>
      <c r="Z75" s="73" t="b">
        <f>IF(ASIC!H17=Data!Z$60,ASIC!J17)</f>
        <v>0</v>
      </c>
      <c r="AA75" s="73" t="b">
        <f>IF(ASIC!H17=Data!AA$60,ASIC!J17)</f>
        <v>0</v>
      </c>
    </row>
    <row r="76" spans="2:27" x14ac:dyDescent="0.3">
      <c r="B76" s="68">
        <f>ASIC!D18</f>
        <v>2012</v>
      </c>
      <c r="C76" s="66" t="b">
        <f>IF(ASIC!H18=$C$1,ASIC!J18)</f>
        <v>0</v>
      </c>
      <c r="D76" s="66" t="b">
        <f>IF(ASIC!H18=$D$60,ASIC!J18)</f>
        <v>0</v>
      </c>
      <c r="E76" s="66">
        <f>IF(ASIC!H18=$E$60,ASIC!J18)</f>
        <v>3.5</v>
      </c>
      <c r="F76" s="66" t="b">
        <f>IF(ASIC!H18=$F$60,ASIC!J18)</f>
        <v>0</v>
      </c>
      <c r="G76" s="66" t="b">
        <f>IF(ASIC!H18=$G$60,ASIC!J18)</f>
        <v>0</v>
      </c>
      <c r="J76"/>
      <c r="K76"/>
      <c r="L76" s="70">
        <v>2012</v>
      </c>
      <c r="M76" s="62"/>
      <c r="N76" s="62"/>
      <c r="O76" s="62">
        <v>3.5</v>
      </c>
      <c r="P76" s="62"/>
      <c r="Q76" s="62"/>
      <c r="R76" s="70">
        <v>2012</v>
      </c>
      <c r="S76" s="104">
        <f t="shared" si="1"/>
        <v>3.5</v>
      </c>
      <c r="V76" s="70">
        <f>ASIC!D18</f>
        <v>2012</v>
      </c>
      <c r="W76" s="73" t="b">
        <f>IF(ASIC!H18=Data!W$60,ASIC!J18)</f>
        <v>0</v>
      </c>
      <c r="X76" s="73" t="b">
        <f>IF(ASIC!H18=Data!X$60,ASIC!J18)</f>
        <v>0</v>
      </c>
      <c r="Y76" s="73">
        <f>IF(ASIC!H18=Data!Y$60,ASIC!J18)</f>
        <v>3.5</v>
      </c>
      <c r="Z76" s="73" t="b">
        <f>IF(ASIC!H18=Data!Z$60,ASIC!J18)</f>
        <v>0</v>
      </c>
      <c r="AA76" s="73" t="b">
        <f>IF(ASIC!H18=Data!AA$60,ASIC!J18)</f>
        <v>0</v>
      </c>
    </row>
    <row r="77" spans="2:27" x14ac:dyDescent="0.3">
      <c r="B77" s="68">
        <f>ASIC!D19</f>
        <v>2012</v>
      </c>
      <c r="C77" s="66" t="b">
        <f>IF(ASIC!H19=$C$1,ASIC!J19)</f>
        <v>0</v>
      </c>
      <c r="D77" s="66" t="b">
        <f>IF(ASIC!H19=$D$60,ASIC!J19)</f>
        <v>0</v>
      </c>
      <c r="E77" s="66">
        <f>IF(ASIC!H19=$E$60,ASIC!J19)</f>
        <v>10</v>
      </c>
      <c r="F77" s="66" t="b">
        <f>IF(ASIC!H19=$F$60,ASIC!J19)</f>
        <v>0</v>
      </c>
      <c r="G77" s="66" t="b">
        <f>IF(ASIC!H19=$G$60,ASIC!J19)</f>
        <v>0</v>
      </c>
      <c r="J77"/>
      <c r="K77"/>
      <c r="L77" s="70">
        <v>2012</v>
      </c>
      <c r="M77" s="62"/>
      <c r="N77" s="62"/>
      <c r="O77" s="62">
        <v>10</v>
      </c>
      <c r="P77" s="62"/>
      <c r="Q77" s="62"/>
      <c r="R77" s="70">
        <v>2012</v>
      </c>
      <c r="S77" s="104">
        <f t="shared" si="1"/>
        <v>10</v>
      </c>
      <c r="T77" s="72"/>
      <c r="V77" s="70">
        <f>ASIC!D19</f>
        <v>2012</v>
      </c>
      <c r="W77" s="73" t="b">
        <f>IF(ASIC!H19=Data!W$60,ASIC!J19)</f>
        <v>0</v>
      </c>
      <c r="X77" s="73" t="b">
        <f>IF(ASIC!H19=Data!X$60,ASIC!J19)</f>
        <v>0</v>
      </c>
      <c r="Y77" s="73">
        <f>IF(ASIC!H19=Data!Y$60,ASIC!J19)</f>
        <v>10</v>
      </c>
      <c r="Z77" s="73" t="b">
        <f>IF(ASIC!H19=Data!Z$60,ASIC!J19)</f>
        <v>0</v>
      </c>
      <c r="AA77" s="73" t="b">
        <f>IF(ASIC!H19=Data!AA$60,ASIC!J19)</f>
        <v>0</v>
      </c>
    </row>
    <row r="78" spans="2:27" x14ac:dyDescent="0.3">
      <c r="B78" s="68">
        <f>ASIC!D20</f>
        <v>2012</v>
      </c>
      <c r="C78" s="66" t="b">
        <f>IF(ASIC!H20=$C$1,ASIC!J20)</f>
        <v>0</v>
      </c>
      <c r="D78" s="66" t="b">
        <f>IF(ASIC!H20=$D$60,ASIC!J20)</f>
        <v>0</v>
      </c>
      <c r="E78" s="66">
        <f>IF(ASIC!H20=$E$60,ASIC!J20)</f>
        <v>4.5</v>
      </c>
      <c r="F78" s="66" t="b">
        <f>IF(ASIC!H20=$F$60,ASIC!J20)</f>
        <v>0</v>
      </c>
      <c r="G78" s="66" t="b">
        <f>IF(ASIC!H20=$G$60,ASIC!J20)</f>
        <v>0</v>
      </c>
      <c r="J78"/>
      <c r="K78"/>
      <c r="L78" s="70">
        <v>2012</v>
      </c>
      <c r="M78" s="62"/>
      <c r="N78" s="62"/>
      <c r="O78" s="62">
        <v>4.5</v>
      </c>
      <c r="P78" s="62"/>
      <c r="Q78" s="62"/>
      <c r="R78" s="70">
        <v>2012</v>
      </c>
      <c r="S78" s="104">
        <f t="shared" si="1"/>
        <v>4.5</v>
      </c>
      <c r="T78" s="72"/>
      <c r="V78" s="70">
        <f>ASIC!D20</f>
        <v>2012</v>
      </c>
      <c r="W78" s="73" t="b">
        <f>IF(ASIC!H20=Data!W$60,ASIC!J20)</f>
        <v>0</v>
      </c>
      <c r="X78" s="73" t="b">
        <f>IF(ASIC!H20=Data!X$60,ASIC!J20)</f>
        <v>0</v>
      </c>
      <c r="Y78" s="73">
        <f>IF(ASIC!H20=Data!Y$60,ASIC!J20)</f>
        <v>4.5</v>
      </c>
      <c r="Z78" s="73" t="b">
        <f>IF(ASIC!H20=Data!Z$60,ASIC!J20)</f>
        <v>0</v>
      </c>
      <c r="AA78" s="73" t="b">
        <f>IF(ASIC!H20=Data!AA$60,ASIC!J20)</f>
        <v>0</v>
      </c>
    </row>
    <row r="79" spans="2:27" x14ac:dyDescent="0.3">
      <c r="B79" s="68">
        <f>ASIC!D21</f>
        <v>2012</v>
      </c>
      <c r="C79" s="66" t="b">
        <f>IF(ASIC!H21=$C$1,ASIC!J21)</f>
        <v>0</v>
      </c>
      <c r="D79" s="66">
        <f>IF(ASIC!H21=$D$60,ASIC!J21)</f>
        <v>2.8</v>
      </c>
      <c r="E79" s="66" t="b">
        <f>IF(ASIC!H21=$E$60,ASIC!J21)</f>
        <v>0</v>
      </c>
      <c r="F79" s="66" t="b">
        <f>IF(ASIC!H21=$F$60,ASIC!J21)</f>
        <v>0</v>
      </c>
      <c r="G79" s="66" t="b">
        <f>IF(ASIC!H21=$G$60,ASIC!J21)</f>
        <v>0</v>
      </c>
      <c r="J79"/>
      <c r="K79"/>
      <c r="L79" s="70">
        <v>2012</v>
      </c>
      <c r="M79" s="62"/>
      <c r="N79" s="62">
        <v>2.8</v>
      </c>
      <c r="O79" s="62"/>
      <c r="P79" s="62"/>
      <c r="Q79" s="62"/>
      <c r="R79" s="70">
        <v>2012</v>
      </c>
      <c r="S79" s="104">
        <f t="shared" si="1"/>
        <v>2.8</v>
      </c>
      <c r="T79" s="72"/>
      <c r="V79" s="70">
        <f>ASIC!D21</f>
        <v>2012</v>
      </c>
      <c r="W79" s="73" t="b">
        <f>IF(ASIC!H21=Data!W$60,ASIC!J21)</f>
        <v>0</v>
      </c>
      <c r="X79" s="73">
        <f>IF(ASIC!H21=Data!X$60,ASIC!J21)</f>
        <v>2.8</v>
      </c>
      <c r="Y79" s="73" t="b">
        <f>IF(ASIC!H21=Data!Y$60,ASIC!J21)</f>
        <v>0</v>
      </c>
      <c r="Z79" s="73" t="b">
        <f>IF(ASIC!H21=Data!Z$60,ASIC!J21)</f>
        <v>0</v>
      </c>
      <c r="AA79" s="73" t="b">
        <f>IF(ASIC!H21=Data!AA$60,ASIC!J21)</f>
        <v>0</v>
      </c>
    </row>
    <row r="80" spans="2:27" x14ac:dyDescent="0.3">
      <c r="B80" s="68">
        <f>ASIC!D22</f>
        <v>2012</v>
      </c>
      <c r="C80" s="66" t="b">
        <f>IF(ASIC!H22=$C$1,ASIC!J22)</f>
        <v>0</v>
      </c>
      <c r="D80" s="66" t="b">
        <f>IF(ASIC!H22=$D$60,ASIC!J22)</f>
        <v>0</v>
      </c>
      <c r="E80" s="66">
        <f>IF(ASIC!H22=$E$60,ASIC!J22)</f>
        <v>1E-3</v>
      </c>
      <c r="F80" s="66" t="b">
        <f>IF(ASIC!H22=$F$60,ASIC!J22)</f>
        <v>0</v>
      </c>
      <c r="G80" s="66" t="b">
        <f>IF(ASIC!H22=$G$60,ASIC!J22)</f>
        <v>0</v>
      </c>
      <c r="J80"/>
      <c r="K80"/>
      <c r="L80" s="70">
        <v>2012</v>
      </c>
      <c r="M80" s="62"/>
      <c r="N80" s="62"/>
      <c r="O80" s="62"/>
      <c r="P80" s="62"/>
      <c r="Q80" s="62"/>
      <c r="R80" s="70">
        <v>2012</v>
      </c>
      <c r="S80" s="104"/>
      <c r="T80" s="72"/>
      <c r="V80" s="70">
        <f>ASIC!D22</f>
        <v>2012</v>
      </c>
      <c r="W80" s="73" t="b">
        <f>IF(ASIC!H22=Data!W$60,ASIC!J22)</f>
        <v>0</v>
      </c>
      <c r="X80" s="73" t="b">
        <f>IF(ASIC!H22=Data!X$60,ASIC!J22)</f>
        <v>0</v>
      </c>
      <c r="Y80" s="73">
        <f>IF(ASIC!H22=Data!Y$60,ASIC!J22)</f>
        <v>1E-3</v>
      </c>
      <c r="Z80" s="73" t="b">
        <f>IF(ASIC!H22=Data!Z$60,ASIC!J22)</f>
        <v>0</v>
      </c>
      <c r="AA80" s="73" t="b">
        <f>IF(ASIC!H22=Data!AA$60,ASIC!J22)</f>
        <v>0</v>
      </c>
    </row>
    <row r="81" spans="2:27" x14ac:dyDescent="0.3">
      <c r="B81" s="68">
        <f>ASIC!D23</f>
        <v>2013</v>
      </c>
      <c r="C81" s="66" t="b">
        <f>IF(ASIC!H23=$C$1,ASIC!J23)</f>
        <v>0</v>
      </c>
      <c r="D81" s="66" t="b">
        <f>IF(ASIC!H23=$D$60,ASIC!J23)</f>
        <v>0</v>
      </c>
      <c r="E81" s="66">
        <f>IF(ASIC!H23=$E$60,ASIC!J23)</f>
        <v>1E-3</v>
      </c>
      <c r="F81" s="66" t="b">
        <f>IF(ASIC!H23=$F$60,ASIC!J23)</f>
        <v>0</v>
      </c>
      <c r="G81" s="66" t="b">
        <f>IF(ASIC!H23=$G$60,ASIC!J23)</f>
        <v>0</v>
      </c>
      <c r="J81"/>
      <c r="K81"/>
      <c r="L81" s="70">
        <v>2013</v>
      </c>
      <c r="M81" s="62"/>
      <c r="N81" s="62"/>
      <c r="O81" s="62"/>
      <c r="P81" s="62"/>
      <c r="Q81" s="62"/>
      <c r="R81" s="70">
        <v>2013</v>
      </c>
      <c r="S81" s="104"/>
      <c r="T81" s="72"/>
      <c r="V81" s="70">
        <f>ASIC!D23</f>
        <v>2013</v>
      </c>
      <c r="W81" s="73" t="b">
        <f>IF(ASIC!H23=Data!W$60,ASIC!J23)</f>
        <v>0</v>
      </c>
      <c r="X81" s="73" t="b">
        <f>IF(ASIC!H23=Data!X$60,ASIC!J23)</f>
        <v>0</v>
      </c>
      <c r="Y81" s="73">
        <f>IF(ASIC!H23=Data!Y$60,ASIC!J23)</f>
        <v>1E-3</v>
      </c>
      <c r="Z81" s="73" t="b">
        <f>IF(ASIC!H23=Data!Z$60,ASIC!J23)</f>
        <v>0</v>
      </c>
      <c r="AA81" s="73" t="b">
        <f>IF(ASIC!H23=Data!AA$60,ASIC!J23)</f>
        <v>0</v>
      </c>
    </row>
    <row r="82" spans="2:27" x14ac:dyDescent="0.3">
      <c r="B82" s="68">
        <f>ASIC!D24</f>
        <v>2014</v>
      </c>
      <c r="C82" s="66">
        <f>IF(ASIC!H24=$C$1,ASIC!J24)</f>
        <v>38.4</v>
      </c>
      <c r="D82" s="66" t="b">
        <f>IF(ASIC!H24=$D$60,ASIC!J24)</f>
        <v>0</v>
      </c>
      <c r="E82" s="66" t="b">
        <f>IF(ASIC!H24=$E$60,ASIC!J24)</f>
        <v>0</v>
      </c>
      <c r="F82" s="66" t="b">
        <f>IF(ASIC!H24=$F$60,ASIC!J24)</f>
        <v>0</v>
      </c>
      <c r="G82" s="66" t="b">
        <f>IF(ASIC!H24=$G$60,ASIC!J24)</f>
        <v>0</v>
      </c>
      <c r="J82"/>
      <c r="K82"/>
      <c r="L82" s="70">
        <v>2014</v>
      </c>
      <c r="M82" s="62">
        <v>38.4</v>
      </c>
      <c r="N82" s="62"/>
      <c r="O82" s="62"/>
      <c r="P82" s="62"/>
      <c r="Q82" s="62"/>
      <c r="R82" s="70">
        <v>2014</v>
      </c>
      <c r="S82" s="104">
        <f t="shared" si="1"/>
        <v>38.4</v>
      </c>
      <c r="T82" s="72"/>
      <c r="V82" s="70">
        <f>ASIC!D24</f>
        <v>2014</v>
      </c>
      <c r="W82" s="73">
        <f>IF(ASIC!H24=Data!W$60,ASIC!J24)</f>
        <v>38.4</v>
      </c>
      <c r="X82" s="73" t="b">
        <f>IF(ASIC!H24=Data!X$60,ASIC!J24)</f>
        <v>0</v>
      </c>
      <c r="Y82" s="73" t="b">
        <f>IF(ASIC!H24=Data!Y$60,ASIC!J24)</f>
        <v>0</v>
      </c>
      <c r="Z82" s="73" t="b">
        <f>IF(ASIC!H24=Data!Z$60,ASIC!J24)</f>
        <v>0</v>
      </c>
      <c r="AA82" s="73" t="b">
        <f>IF(ASIC!H24=Data!AA$60,ASIC!J24)</f>
        <v>0</v>
      </c>
    </row>
    <row r="83" spans="2:27" x14ac:dyDescent="0.3">
      <c r="B83" s="68">
        <f>ASIC!D25</f>
        <v>2014</v>
      </c>
      <c r="C83" s="66" t="b">
        <f>IF(ASIC!H25=$C$1,ASIC!J25)</f>
        <v>0</v>
      </c>
      <c r="D83" s="66" t="b">
        <f>IF(ASIC!H25=$D$60,ASIC!J25)</f>
        <v>0</v>
      </c>
      <c r="E83" s="66" t="b">
        <f>IF(ASIC!H25=$E$60,ASIC!J25)</f>
        <v>0</v>
      </c>
      <c r="F83" s="66">
        <f>IF(ASIC!H25=$F$60,ASIC!J25)</f>
        <v>30</v>
      </c>
      <c r="G83" s="66" t="b">
        <f>IF(ASIC!H25=$G$60,ASIC!J25)</f>
        <v>0</v>
      </c>
      <c r="J83"/>
      <c r="K83"/>
      <c r="L83" s="70">
        <v>2014</v>
      </c>
      <c r="M83" s="62"/>
      <c r="N83" s="62"/>
      <c r="O83" s="62"/>
      <c r="P83" s="62">
        <v>30</v>
      </c>
      <c r="Q83" s="62"/>
      <c r="R83" s="70">
        <v>2014</v>
      </c>
      <c r="S83" s="104">
        <f t="shared" si="1"/>
        <v>30</v>
      </c>
      <c r="T83" s="72"/>
      <c r="V83" s="70">
        <f>ASIC!D25</f>
        <v>2014</v>
      </c>
      <c r="W83" s="73" t="b">
        <f>IF(ASIC!H25=Data!W$60,ASIC!J25)</f>
        <v>0</v>
      </c>
      <c r="X83" s="73" t="b">
        <f>IF(ASIC!H25=Data!X$60,ASIC!J25)</f>
        <v>0</v>
      </c>
      <c r="Y83" s="73" t="b">
        <f>IF(ASIC!H25=Data!Y$60,ASIC!J25)</f>
        <v>0</v>
      </c>
      <c r="Z83" s="73">
        <f>IF(ASIC!H25=Data!Z$60,ASIC!J25)</f>
        <v>30</v>
      </c>
      <c r="AA83" s="73" t="b">
        <f>IF(ASIC!H25=Data!AA$60,ASIC!J25)</f>
        <v>0</v>
      </c>
    </row>
    <row r="84" spans="2:27" x14ac:dyDescent="0.3">
      <c r="B84" s="68">
        <f>ASIC!D26</f>
        <v>2014</v>
      </c>
      <c r="C84" s="66" t="b">
        <f>IF(ASIC!H26=$C$1,ASIC!J26)</f>
        <v>0</v>
      </c>
      <c r="D84" s="66" t="b">
        <f>IF(ASIC!H26=$D$60,ASIC!J26)</f>
        <v>0</v>
      </c>
      <c r="E84" s="66" t="b">
        <f>IF(ASIC!H26=$E$60,ASIC!J26)</f>
        <v>0</v>
      </c>
      <c r="F84" s="66">
        <f>IF(ASIC!H26=$F$60,ASIC!J26)</f>
        <v>12.5</v>
      </c>
      <c r="G84" s="66" t="b">
        <f>IF(ASIC!H26=$G$60,ASIC!J26)</f>
        <v>0</v>
      </c>
      <c r="J84"/>
      <c r="K84"/>
      <c r="L84" s="70">
        <v>2014</v>
      </c>
      <c r="M84" s="62"/>
      <c r="N84" s="62"/>
      <c r="O84" s="62"/>
      <c r="P84" s="62">
        <v>12.5</v>
      </c>
      <c r="Q84" s="62"/>
      <c r="R84" s="70">
        <v>2014</v>
      </c>
      <c r="S84" s="104">
        <f t="shared" si="1"/>
        <v>12.5</v>
      </c>
      <c r="T84" s="72"/>
      <c r="V84" s="70">
        <f>ASIC!D26</f>
        <v>2014</v>
      </c>
      <c r="W84" s="73" t="b">
        <f>IF(ASIC!H26=Data!W$60,ASIC!J26)</f>
        <v>0</v>
      </c>
      <c r="X84" s="73" t="b">
        <f>IF(ASIC!H26=Data!X$60,ASIC!J26)</f>
        <v>0</v>
      </c>
      <c r="Y84" s="73" t="b">
        <f>IF(ASIC!H26=Data!Y$60,ASIC!J26)</f>
        <v>0</v>
      </c>
      <c r="Z84" s="73">
        <f>IF(ASIC!H26=Data!Z$60,ASIC!J26)</f>
        <v>12.5</v>
      </c>
      <c r="AA84" s="73" t="b">
        <f>IF(ASIC!H26=Data!AA$60,ASIC!J26)</f>
        <v>0</v>
      </c>
    </row>
    <row r="85" spans="2:27" x14ac:dyDescent="0.3">
      <c r="B85" s="68">
        <f>ASIC!D27</f>
        <v>2014</v>
      </c>
      <c r="C85" s="66" t="str">
        <f>IF(ASIC!H27=$C$1,ASIC!J27)</f>
        <v>N/A</v>
      </c>
      <c r="D85" s="66" t="b">
        <f>IF(ASIC!H27=$D$60,ASIC!J27)</f>
        <v>0</v>
      </c>
      <c r="E85" s="66" t="b">
        <f>IF(ASIC!H27=$E$60,ASIC!J27)</f>
        <v>0</v>
      </c>
      <c r="F85" s="66" t="b">
        <f>IF(ASIC!H27=$F$60,ASIC!J27)</f>
        <v>0</v>
      </c>
      <c r="G85" s="66" t="b">
        <f>IF(ASIC!H27=$G$60,ASIC!J27)</f>
        <v>0</v>
      </c>
      <c r="J85"/>
      <c r="K85"/>
      <c r="L85" s="70">
        <v>2014</v>
      </c>
      <c r="M85" s="62"/>
      <c r="N85" s="62"/>
      <c r="O85" s="62"/>
      <c r="P85" s="62"/>
      <c r="Q85" s="62"/>
      <c r="R85" s="70">
        <v>2014</v>
      </c>
      <c r="S85" s="104"/>
      <c r="V85" s="70">
        <f>ASIC!D27</f>
        <v>2014</v>
      </c>
      <c r="W85" s="73" t="str">
        <f>IF(ASIC!H27=Data!W$60,ASIC!J27)</f>
        <v>N/A</v>
      </c>
      <c r="X85" s="73" t="b">
        <f>IF(ASIC!H27=Data!X$60,ASIC!J27)</f>
        <v>0</v>
      </c>
      <c r="Y85" s="73" t="b">
        <f>IF(ASIC!H27=Data!Y$60,ASIC!J27)</f>
        <v>0</v>
      </c>
      <c r="Z85" s="73" t="b">
        <f>IF(ASIC!H27=Data!Z$60,ASIC!J27)</f>
        <v>0</v>
      </c>
      <c r="AA85" s="73" t="b">
        <f>IF(ASIC!H27=Data!AA$60,ASIC!J27)</f>
        <v>0</v>
      </c>
    </row>
    <row r="86" spans="2:27" x14ac:dyDescent="0.3">
      <c r="B86" s="68">
        <f>ASIC!D28</f>
        <v>2015</v>
      </c>
      <c r="C86" s="66" t="b">
        <f>IF(ASIC!H28=$C$1,ASIC!J28)</f>
        <v>0</v>
      </c>
      <c r="D86" s="66" t="b">
        <f>IF(ASIC!H28=$D$60,ASIC!J28)</f>
        <v>0</v>
      </c>
      <c r="E86" s="66" t="b">
        <f>IF(ASIC!H28=$E$60,ASIC!J28)</f>
        <v>0</v>
      </c>
      <c r="F86" s="66" t="b">
        <f>IF(ASIC!H28=$F$60,ASIC!J28)</f>
        <v>0</v>
      </c>
      <c r="G86" s="66">
        <f>IF(ASIC!H28=$G$60,ASIC!J28)</f>
        <v>1.73</v>
      </c>
      <c r="J86"/>
      <c r="K86"/>
      <c r="L86" s="70">
        <v>2015</v>
      </c>
      <c r="M86" s="62"/>
      <c r="N86" s="62"/>
      <c r="O86" s="62"/>
      <c r="P86" s="62"/>
      <c r="Q86" s="62">
        <v>1.73</v>
      </c>
      <c r="R86" s="70">
        <v>2015</v>
      </c>
      <c r="S86" s="104">
        <f t="shared" si="1"/>
        <v>1.73</v>
      </c>
      <c r="T86" s="72"/>
      <c r="V86" s="70">
        <f>ASIC!D28</f>
        <v>2015</v>
      </c>
      <c r="W86" s="73" t="b">
        <f>IF(ASIC!H28=Data!W$60,ASIC!J28)</f>
        <v>0</v>
      </c>
      <c r="X86" s="73" t="b">
        <f>IF(ASIC!H28=Data!X$60,ASIC!J28)</f>
        <v>0</v>
      </c>
      <c r="Y86" s="73" t="b">
        <f>IF(ASIC!H28=Data!Y$60,ASIC!J28)</f>
        <v>0</v>
      </c>
      <c r="Z86" s="73" t="b">
        <f>IF(ASIC!H28=Data!Z$60,ASIC!J28)</f>
        <v>0</v>
      </c>
      <c r="AA86" s="73">
        <f>IF(ASIC!H28=Data!AA$60,ASIC!J28)</f>
        <v>1.73</v>
      </c>
    </row>
    <row r="87" spans="2:27" x14ac:dyDescent="0.3">
      <c r="B87" s="68">
        <f>ASIC!D29</f>
        <v>2015</v>
      </c>
      <c r="C87" s="66">
        <f>IF(ASIC!H29=$C$1,ASIC!J29)</f>
        <v>7.1</v>
      </c>
      <c r="D87" s="66" t="b">
        <f>IF(ASIC!H29=$D$60,ASIC!J29)</f>
        <v>0</v>
      </c>
      <c r="E87" s="66" t="b">
        <f>IF(ASIC!H29=$E$60,ASIC!J29)</f>
        <v>0</v>
      </c>
      <c r="F87" s="66" t="b">
        <f>IF(ASIC!H29=$F$60,ASIC!J29)</f>
        <v>0</v>
      </c>
      <c r="G87" s="66" t="b">
        <f>IF(ASIC!H29=$G$60,ASIC!J29)</f>
        <v>0</v>
      </c>
      <c r="J87"/>
      <c r="K87"/>
      <c r="L87" s="70">
        <v>2015</v>
      </c>
      <c r="M87" s="62">
        <v>7.1</v>
      </c>
      <c r="N87" s="62"/>
      <c r="O87" s="62"/>
      <c r="P87" s="62"/>
      <c r="Q87" s="62"/>
      <c r="R87" s="70">
        <v>2015</v>
      </c>
      <c r="S87" s="104">
        <f t="shared" si="1"/>
        <v>7.1</v>
      </c>
      <c r="T87" s="72"/>
      <c r="V87" s="70">
        <f>ASIC!D29</f>
        <v>2015</v>
      </c>
      <c r="W87" s="73">
        <f>IF(ASIC!H29=Data!W$60,ASIC!J29)</f>
        <v>7.1</v>
      </c>
      <c r="X87" s="73" t="b">
        <f>IF(ASIC!H29=Data!X$60,ASIC!J29)</f>
        <v>0</v>
      </c>
      <c r="Y87" s="73" t="b">
        <f>IF(ASIC!H29=Data!Y$60,ASIC!J29)</f>
        <v>0</v>
      </c>
      <c r="Z87" s="73" t="b">
        <f>IF(ASIC!H29=Data!Z$60,ASIC!J29)</f>
        <v>0</v>
      </c>
      <c r="AA87" s="73" t="b">
        <f>IF(ASIC!H29=Data!AA$60,ASIC!J29)</f>
        <v>0</v>
      </c>
    </row>
    <row r="88" spans="2:27" x14ac:dyDescent="0.3">
      <c r="B88" s="68">
        <f>ASIC!D30</f>
        <v>2015</v>
      </c>
      <c r="C88" s="66">
        <f>IF(ASIC!H30=$C$1,ASIC!J30)</f>
        <v>0</v>
      </c>
      <c r="D88" s="66" t="b">
        <f>IF(ASIC!H30=$D$60,ASIC!J30)</f>
        <v>0</v>
      </c>
      <c r="E88" s="66" t="b">
        <f>IF(ASIC!H30=$E$60,ASIC!J30)</f>
        <v>0</v>
      </c>
      <c r="F88" s="66" t="b">
        <f>IF(ASIC!H30=$F$60,ASIC!J30)</f>
        <v>0</v>
      </c>
      <c r="G88" s="66" t="b">
        <f>IF(ASIC!H30=$G$60,ASIC!J30)</f>
        <v>0</v>
      </c>
      <c r="J88"/>
      <c r="K88"/>
      <c r="L88" s="70">
        <v>2015</v>
      </c>
      <c r="M88" s="62"/>
      <c r="N88" s="62"/>
      <c r="O88" s="62"/>
      <c r="P88" s="62"/>
      <c r="Q88" s="62"/>
      <c r="R88" s="70">
        <v>2015</v>
      </c>
      <c r="S88" s="104"/>
      <c r="T88" s="72"/>
      <c r="V88" s="70">
        <f>ASIC!D30</f>
        <v>2015</v>
      </c>
      <c r="W88" s="73">
        <f>IF(ASIC!H30=Data!W$60,ASIC!J30)</f>
        <v>0</v>
      </c>
      <c r="X88" s="73" t="b">
        <f>IF(ASIC!H30=Data!X$60,ASIC!J30)</f>
        <v>0</v>
      </c>
      <c r="Y88" s="73" t="b">
        <f>IF(ASIC!H30=Data!Y$60,ASIC!J30)</f>
        <v>0</v>
      </c>
      <c r="Z88" s="73" t="b">
        <f>IF(ASIC!H30=Data!Z$60,ASIC!J30)</f>
        <v>0</v>
      </c>
      <c r="AA88" s="73" t="b">
        <f>IF(ASIC!H30=Data!AA$60,ASIC!J30)</f>
        <v>0</v>
      </c>
    </row>
    <row r="89" spans="2:27" x14ac:dyDescent="0.3">
      <c r="B89" s="68">
        <f>ASIC!D31</f>
        <v>2015</v>
      </c>
      <c r="C89" s="66" t="b">
        <f>IF(ASIC!H31=$C$1,ASIC!J31)</f>
        <v>0</v>
      </c>
      <c r="D89" s="66">
        <f>IF(ASIC!H31=$D$60,ASIC!J31)</f>
        <v>9</v>
      </c>
      <c r="E89" s="66" t="b">
        <f>IF(ASIC!H31=$E$60,ASIC!J31)</f>
        <v>0</v>
      </c>
      <c r="F89" s="66" t="b">
        <f>IF(ASIC!H31=$F$60,ASIC!J31)</f>
        <v>0</v>
      </c>
      <c r="G89" s="66" t="b">
        <f>IF(ASIC!H31=$G$60,ASIC!J31)</f>
        <v>0</v>
      </c>
      <c r="J89"/>
      <c r="K89"/>
      <c r="L89" s="70">
        <v>2015</v>
      </c>
      <c r="M89" s="62"/>
      <c r="N89" s="62">
        <v>9</v>
      </c>
      <c r="O89" s="62"/>
      <c r="P89" s="62"/>
      <c r="Q89" s="62"/>
      <c r="R89" s="70">
        <v>2015</v>
      </c>
      <c r="S89" s="104">
        <f t="shared" si="1"/>
        <v>9</v>
      </c>
      <c r="V89" s="70">
        <f>ASIC!D31</f>
        <v>2015</v>
      </c>
      <c r="W89" s="73" t="b">
        <f>IF(ASIC!H31=Data!W$60,ASIC!J31)</f>
        <v>0</v>
      </c>
      <c r="X89" s="73">
        <f>IF(ASIC!H31=Data!X$60,ASIC!J31)</f>
        <v>9</v>
      </c>
      <c r="Y89" s="73" t="b">
        <f>IF(ASIC!H31=Data!Y$60,ASIC!J31)</f>
        <v>0</v>
      </c>
      <c r="Z89" s="73" t="b">
        <f>IF(ASIC!H31=Data!Z$60,ASIC!J31)</f>
        <v>0</v>
      </c>
      <c r="AA89" s="73" t="b">
        <f>IF(ASIC!H31=Data!AA$60,ASIC!J31)</f>
        <v>0</v>
      </c>
    </row>
    <row r="90" spans="2:27" x14ac:dyDescent="0.3">
      <c r="B90" s="68">
        <f>ASIC!D32</f>
        <v>2016</v>
      </c>
      <c r="C90" s="66">
        <f>IF(ASIC!H32=$C$1,ASIC!J32)</f>
        <v>18.5</v>
      </c>
      <c r="D90" s="66" t="b">
        <f>IF(ASIC!H32=$D$60,ASIC!J32)</f>
        <v>0</v>
      </c>
      <c r="E90" s="66" t="b">
        <f>IF(ASIC!H32=$E$60,ASIC!J32)</f>
        <v>0</v>
      </c>
      <c r="F90" s="66" t="b">
        <f>IF(ASIC!H32=$F$60,ASIC!J32)</f>
        <v>0</v>
      </c>
      <c r="G90" s="66" t="b">
        <f>IF(ASIC!H32=$G$60,ASIC!J32)</f>
        <v>0</v>
      </c>
      <c r="J90"/>
      <c r="K90"/>
      <c r="L90" s="70">
        <v>2016</v>
      </c>
      <c r="M90" s="62">
        <v>18.5</v>
      </c>
      <c r="N90" s="62"/>
      <c r="O90" s="62"/>
      <c r="P90" s="62"/>
      <c r="Q90" s="62"/>
      <c r="R90" s="70">
        <v>2016</v>
      </c>
      <c r="S90" s="104">
        <f t="shared" si="1"/>
        <v>18.5</v>
      </c>
      <c r="V90" s="70">
        <f>ASIC!D32</f>
        <v>2016</v>
      </c>
      <c r="W90" s="73">
        <f>IF(ASIC!H32=Data!W$60,ASIC!J32)</f>
        <v>18.5</v>
      </c>
      <c r="X90" s="73" t="b">
        <f>IF(ASIC!H32=Data!X$60,ASIC!J32)</f>
        <v>0</v>
      </c>
      <c r="Y90" s="73" t="b">
        <f>IF(ASIC!H32=Data!Y$60,ASIC!J32)</f>
        <v>0</v>
      </c>
      <c r="Z90" s="73" t="b">
        <f>IF(ASIC!H32=Data!Z$60,ASIC!J32)</f>
        <v>0</v>
      </c>
      <c r="AA90" s="73" t="b">
        <f>IF(ASIC!H32=Data!AA$60,ASIC!J32)</f>
        <v>0</v>
      </c>
    </row>
    <row r="91" spans="2:27" x14ac:dyDescent="0.3">
      <c r="B91" s="68">
        <f>ASIC!D33</f>
        <v>2016</v>
      </c>
      <c r="C91" s="66" t="b">
        <f>IF(ASIC!H33=$C$1,ASIC!J33)</f>
        <v>0</v>
      </c>
      <c r="D91" s="66" t="b">
        <f>IF(ASIC!H33=$D$60,ASIC!J33)</f>
        <v>0</v>
      </c>
      <c r="E91" s="66" t="b">
        <f>IF(ASIC!H33=$E$60,ASIC!J33)</f>
        <v>0</v>
      </c>
      <c r="F91" s="66" t="b">
        <f>IF(ASIC!H33=$F$60,ASIC!J33)</f>
        <v>0</v>
      </c>
      <c r="G91" s="66">
        <f>IF(ASIC!H33=$G$60,ASIC!J33)</f>
        <v>2.34</v>
      </c>
      <c r="J91"/>
      <c r="K91"/>
      <c r="L91" s="70">
        <v>2016</v>
      </c>
      <c r="M91" s="62"/>
      <c r="N91" s="62"/>
      <c r="O91" s="62"/>
      <c r="P91" s="62"/>
      <c r="Q91" s="62">
        <v>2.34</v>
      </c>
      <c r="R91" s="70">
        <v>2016</v>
      </c>
      <c r="S91" s="104">
        <f t="shared" si="1"/>
        <v>2.34</v>
      </c>
      <c r="V91" s="70">
        <f>ASIC!D33</f>
        <v>2016</v>
      </c>
      <c r="W91" s="73" t="b">
        <f>IF(ASIC!H33=Data!W$60,ASIC!J33)</f>
        <v>0</v>
      </c>
      <c r="X91" s="73" t="b">
        <f>IF(ASIC!H33=Data!X$60,ASIC!J33)</f>
        <v>0</v>
      </c>
      <c r="Y91" s="73" t="b">
        <f>IF(ASIC!H33=Data!Y$60,ASIC!J33)</f>
        <v>0</v>
      </c>
      <c r="Z91" s="73" t="b">
        <f>IF(ASIC!H33=Data!Z$60,ASIC!J33)</f>
        <v>0</v>
      </c>
      <c r="AA91" s="73">
        <f>IF(ASIC!H33=Data!AA$60,ASIC!J33)</f>
        <v>2.34</v>
      </c>
    </row>
    <row r="92" spans="2:27" x14ac:dyDescent="0.3">
      <c r="B92" s="68">
        <f>ASIC!D34</f>
        <v>2016</v>
      </c>
      <c r="C92" s="66" t="b">
        <f>IF(ASIC!H34=$C$1,ASIC!J34)</f>
        <v>0</v>
      </c>
      <c r="D92" s="66" t="b">
        <f>IF(ASIC!H34=$D$60,ASIC!J34)</f>
        <v>0</v>
      </c>
      <c r="E92" s="66">
        <f>IF(ASIC!H34=$E$60,ASIC!J34)</f>
        <v>16.66</v>
      </c>
      <c r="F92" s="66" t="b">
        <f>IF(ASIC!H34=$F$60,ASIC!J34)</f>
        <v>0</v>
      </c>
      <c r="G92" s="66" t="b">
        <f>IF(ASIC!H34=$G$60,ASIC!J34)</f>
        <v>0</v>
      </c>
      <c r="J92"/>
      <c r="K92"/>
      <c r="L92" s="70">
        <v>2016</v>
      </c>
      <c r="M92" s="62"/>
      <c r="N92" s="62"/>
      <c r="O92" s="62">
        <v>16.66</v>
      </c>
      <c r="P92" s="62"/>
      <c r="Q92" s="62"/>
      <c r="R92" s="70">
        <v>2016</v>
      </c>
      <c r="S92" s="104">
        <f t="shared" si="1"/>
        <v>16.66</v>
      </c>
      <c r="V92" s="70">
        <f>ASIC!D34</f>
        <v>2016</v>
      </c>
      <c r="W92" s="73" t="b">
        <f>IF(ASIC!H34=Data!W$60,ASIC!J34)</f>
        <v>0</v>
      </c>
      <c r="X92" s="73" t="b">
        <f>IF(ASIC!H34=Data!X$60,ASIC!J34)</f>
        <v>0</v>
      </c>
      <c r="Y92" s="73">
        <f>IF(ASIC!H34=Data!Y$60,ASIC!J34)</f>
        <v>16.66</v>
      </c>
      <c r="Z92" s="73" t="b">
        <f>IF(ASIC!H34=Data!Z$60,ASIC!J34)</f>
        <v>0</v>
      </c>
      <c r="AA92" s="73" t="b">
        <f>IF(ASIC!H34=Data!AA$60,ASIC!J34)</f>
        <v>0</v>
      </c>
    </row>
    <row r="93" spans="2:27" x14ac:dyDescent="0.3">
      <c r="B93" s="68">
        <f>ASIC!D35</f>
        <v>2016</v>
      </c>
      <c r="C93" s="66" t="b">
        <f>IF(ASIC!H35=$C$1,ASIC!J35)</f>
        <v>0</v>
      </c>
      <c r="D93" s="66">
        <f>IF(ASIC!H35=$D$60,ASIC!J35)</f>
        <v>18.16</v>
      </c>
      <c r="E93" s="66" t="b">
        <f>IF(ASIC!H35=$E$60,ASIC!J35)</f>
        <v>0</v>
      </c>
      <c r="F93" s="66" t="b">
        <f>IF(ASIC!H35=$F$60,ASIC!J35)</f>
        <v>0</v>
      </c>
      <c r="G93" s="66" t="b">
        <f>IF(ASIC!H35=$G$60,ASIC!J35)</f>
        <v>0</v>
      </c>
      <c r="J93"/>
      <c r="K93"/>
      <c r="L93" s="70">
        <v>2016</v>
      </c>
      <c r="M93" s="62"/>
      <c r="N93" s="62">
        <v>18.16</v>
      </c>
      <c r="O93" s="62"/>
      <c r="P93" s="62"/>
      <c r="Q93" s="62"/>
      <c r="R93" s="70">
        <v>2016</v>
      </c>
      <c r="S93" s="104">
        <f t="shared" si="1"/>
        <v>18.16</v>
      </c>
      <c r="V93" s="70">
        <f>ASIC!D35</f>
        <v>2016</v>
      </c>
      <c r="W93" s="73" t="b">
        <f>IF(ASIC!H35=Data!W$60,ASIC!J35)</f>
        <v>0</v>
      </c>
      <c r="X93" s="73">
        <f>IF(ASIC!H35=Data!X$60,ASIC!J35)</f>
        <v>18.16</v>
      </c>
      <c r="Y93" s="73" t="b">
        <f>IF(ASIC!H35=Data!Y$60,ASIC!J35)</f>
        <v>0</v>
      </c>
      <c r="Z93" s="73" t="b">
        <f>IF(ASIC!H35=Data!Z$60,ASIC!J35)</f>
        <v>0</v>
      </c>
      <c r="AA93" s="73" t="b">
        <f>IF(ASIC!H35=Data!AA$60,ASIC!J35)</f>
        <v>0</v>
      </c>
    </row>
    <row r="94" spans="2:27" x14ac:dyDescent="0.3">
      <c r="B94" s="68">
        <f>ASIC!D36</f>
        <v>2016</v>
      </c>
      <c r="C94" s="66">
        <f>IF(ASIC!H36=$C$1,ASIC!J36)</f>
        <v>6.54</v>
      </c>
      <c r="D94" s="66" t="b">
        <f>IF(ASIC!H36=$D$60,ASIC!J36)</f>
        <v>0</v>
      </c>
      <c r="E94" s="66" t="b">
        <f>IF(ASIC!H36=$E$60,ASIC!J36)</f>
        <v>0</v>
      </c>
      <c r="F94" s="66" t="b">
        <f>IF(ASIC!H36=$F$60,ASIC!J36)</f>
        <v>0</v>
      </c>
      <c r="G94" s="66" t="b">
        <f>IF(ASIC!H36=$G$60,ASIC!J36)</f>
        <v>0</v>
      </c>
      <c r="J94"/>
      <c r="K94"/>
      <c r="L94" s="70">
        <v>2016</v>
      </c>
      <c r="M94" s="62">
        <v>6.54</v>
      </c>
      <c r="N94" s="62"/>
      <c r="O94" s="62"/>
      <c r="P94" s="62"/>
      <c r="Q94" s="62"/>
      <c r="R94" s="70">
        <v>2016</v>
      </c>
      <c r="S94" s="104">
        <f t="shared" si="1"/>
        <v>6.54</v>
      </c>
      <c r="V94" s="70">
        <f>ASIC!D36</f>
        <v>2016</v>
      </c>
      <c r="W94" s="73">
        <f>IF(ASIC!H36=Data!W$60,ASIC!J36)</f>
        <v>6.54</v>
      </c>
      <c r="X94" s="73" t="b">
        <f>IF(ASIC!H36=Data!X$60,ASIC!J36)</f>
        <v>0</v>
      </c>
      <c r="Y94" s="73" t="b">
        <f>IF(ASIC!H36=Data!Y$60,ASIC!J36)</f>
        <v>0</v>
      </c>
      <c r="Z94" s="73" t="b">
        <f>IF(ASIC!H36=Data!Z$60,ASIC!J36)</f>
        <v>0</v>
      </c>
      <c r="AA94" s="73" t="b">
        <f>IF(ASIC!H36=Data!AA$60,ASIC!J36)</f>
        <v>0</v>
      </c>
    </row>
    <row r="95" spans="2:27" x14ac:dyDescent="0.3">
      <c r="B95" s="68">
        <f>ASIC!D37</f>
        <v>2016</v>
      </c>
      <c r="C95" s="66" t="b">
        <f>IF(ASIC!H37=$C$1,ASIC!J37)</f>
        <v>0</v>
      </c>
      <c r="D95" s="66" t="b">
        <f>IF(ASIC!H37=$D$60,ASIC!J37)</f>
        <v>0</v>
      </c>
      <c r="E95" s="66" t="b">
        <f>IF(ASIC!H37=$E$60,ASIC!J37)</f>
        <v>0</v>
      </c>
      <c r="F95" s="66">
        <f>IF(ASIC!H37=$F$60,ASIC!J37)</f>
        <v>26</v>
      </c>
      <c r="G95" s="66" t="b">
        <f>IF(ASIC!H37=$G$60,ASIC!J37)</f>
        <v>0</v>
      </c>
      <c r="J95"/>
      <c r="K95"/>
      <c r="L95" s="70">
        <v>2016</v>
      </c>
      <c r="M95" s="62"/>
      <c r="N95" s="62"/>
      <c r="O95" s="62"/>
      <c r="P95" s="62">
        <v>26</v>
      </c>
      <c r="Q95" s="62"/>
      <c r="R95" s="70">
        <v>2016</v>
      </c>
      <c r="S95" s="104">
        <f t="shared" si="1"/>
        <v>26</v>
      </c>
      <c r="V95" s="70">
        <f>ASIC!D37</f>
        <v>2016</v>
      </c>
      <c r="W95" s="73" t="b">
        <f>IF(ASIC!H37=Data!W$60,ASIC!J37)</f>
        <v>0</v>
      </c>
      <c r="X95" s="73" t="b">
        <f>IF(ASIC!H37=Data!X$60,ASIC!J37)</f>
        <v>0</v>
      </c>
      <c r="Y95" s="73" t="b">
        <f>IF(ASIC!H37=Data!Y$60,ASIC!J37)</f>
        <v>0</v>
      </c>
      <c r="Z95" s="73">
        <f>IF(ASIC!H37=Data!Z$60,ASIC!J37)</f>
        <v>26</v>
      </c>
      <c r="AA95" s="73" t="b">
        <f>IF(ASIC!H37=Data!AA$60,ASIC!J37)</f>
        <v>0</v>
      </c>
    </row>
    <row r="96" spans="2:27" x14ac:dyDescent="0.3">
      <c r="B96" s="68">
        <f>ASIC!D38</f>
        <v>2016</v>
      </c>
      <c r="C96" s="66" t="b">
        <f>IF(ASIC!H38=$C$1,ASIC!J38)</f>
        <v>0</v>
      </c>
      <c r="D96" s="66" t="b">
        <f>IF(ASIC!H38=$D$60,ASIC!J38)</f>
        <v>0</v>
      </c>
      <c r="E96" s="66" t="b">
        <f>IF(ASIC!H38=$E$60,ASIC!J38)</f>
        <v>0</v>
      </c>
      <c r="F96" s="66" t="b">
        <f>IF(ASIC!H38=$F$60,ASIC!J38)</f>
        <v>0</v>
      </c>
      <c r="G96" s="66" t="b">
        <f>IF(ASIC!H38=$G$60,ASIC!J38)</f>
        <v>0</v>
      </c>
      <c r="J96"/>
      <c r="K96"/>
      <c r="L96" s="70">
        <v>2016</v>
      </c>
      <c r="M96" s="62"/>
      <c r="N96" s="62"/>
      <c r="O96" s="62"/>
      <c r="P96" s="62"/>
      <c r="Q96" s="62"/>
      <c r="R96" s="70">
        <v>2016</v>
      </c>
      <c r="S96" s="104"/>
      <c r="V96" s="70">
        <f>ASIC!D38</f>
        <v>2016</v>
      </c>
      <c r="W96" s="73" t="b">
        <f>IF(ASIC!H38=Data!W$60,ASIC!J38)</f>
        <v>0</v>
      </c>
      <c r="X96" s="73" t="b">
        <f>IF(ASIC!H38=Data!X$60,ASIC!J38)</f>
        <v>0</v>
      </c>
      <c r="Y96" s="73" t="b">
        <f>IF(ASIC!H38=Data!Y$60,ASIC!J38)</f>
        <v>0</v>
      </c>
      <c r="Z96" s="73" t="b">
        <f>IF(ASIC!H38=Data!Z$60,ASIC!J38)</f>
        <v>0</v>
      </c>
      <c r="AA96" s="73" t="b">
        <f>IF(ASIC!H38=Data!AA$60,ASIC!J38)</f>
        <v>0</v>
      </c>
    </row>
    <row r="97" spans="2:27" x14ac:dyDescent="0.3">
      <c r="B97" s="68">
        <f>ASIC!D39</f>
        <v>2017</v>
      </c>
      <c r="C97" s="66" t="b">
        <f>IF(ASIC!H39=$C$1,ASIC!J39)</f>
        <v>0</v>
      </c>
      <c r="D97" s="66" t="b">
        <f>IF(ASIC!H39=$D$60,ASIC!J39)</f>
        <v>0</v>
      </c>
      <c r="E97" s="66" t="b">
        <f>IF(ASIC!H39=$E$60,ASIC!J39)</f>
        <v>0</v>
      </c>
      <c r="F97" s="66" t="b">
        <f>IF(ASIC!H39=$F$60,ASIC!J39)</f>
        <v>0</v>
      </c>
      <c r="G97" s="66">
        <f>IF(ASIC!H39=$G$60,ASIC!J39)</f>
        <v>1.73</v>
      </c>
      <c r="J97"/>
      <c r="K97"/>
      <c r="L97" s="70">
        <v>2017</v>
      </c>
      <c r="M97" s="62"/>
      <c r="N97" s="62"/>
      <c r="O97" s="62"/>
      <c r="P97" s="62"/>
      <c r="Q97" s="62">
        <v>1.73</v>
      </c>
      <c r="R97" s="70">
        <v>2017</v>
      </c>
      <c r="S97" s="104">
        <f t="shared" si="1"/>
        <v>1.73</v>
      </c>
      <c r="V97" s="70">
        <f>ASIC!D39</f>
        <v>2017</v>
      </c>
      <c r="W97" s="73" t="b">
        <f>IF(ASIC!H39=Data!W$60,ASIC!J39)</f>
        <v>0</v>
      </c>
      <c r="X97" s="73" t="b">
        <f>IF(ASIC!H39=Data!X$60,ASIC!J39)</f>
        <v>0</v>
      </c>
      <c r="Y97" s="73" t="b">
        <f>IF(ASIC!H39=Data!Y$60,ASIC!J39)</f>
        <v>0</v>
      </c>
      <c r="Z97" s="73" t="b">
        <f>IF(ASIC!H39=Data!Z$60,ASIC!J39)</f>
        <v>0</v>
      </c>
      <c r="AA97" s="73">
        <f>IF(ASIC!H39=Data!AA$60,ASIC!J39)</f>
        <v>1.73</v>
      </c>
    </row>
    <row r="98" spans="2:27" x14ac:dyDescent="0.3">
      <c r="B98" s="68">
        <f>ASIC!D40</f>
        <v>2017</v>
      </c>
      <c r="C98" s="66" t="b">
        <f>IF(ASIC!H40=$C$1,ASIC!J40)</f>
        <v>0</v>
      </c>
      <c r="D98" s="66" t="b">
        <f>IF(ASIC!H40=$D$60,ASIC!J40)</f>
        <v>0</v>
      </c>
      <c r="E98" s="66" t="b">
        <f>IF(ASIC!H40=$E$60,ASIC!J40)</f>
        <v>0</v>
      </c>
      <c r="F98" s="66" t="b">
        <f>IF(ASIC!H40=$F$60,ASIC!J40)</f>
        <v>0</v>
      </c>
      <c r="G98" s="66">
        <f>IF(ASIC!H40=$G$60,ASIC!J40)</f>
        <v>1.67</v>
      </c>
      <c r="J98"/>
      <c r="K98"/>
      <c r="L98" s="70">
        <v>2017</v>
      </c>
      <c r="M98" s="62"/>
      <c r="N98" s="62"/>
      <c r="O98" s="62"/>
      <c r="P98" s="62"/>
      <c r="Q98" s="62">
        <v>1.67</v>
      </c>
      <c r="R98" s="70">
        <v>2017</v>
      </c>
      <c r="S98" s="104">
        <f t="shared" si="1"/>
        <v>1.67</v>
      </c>
      <c r="V98" s="70">
        <f>ASIC!D40</f>
        <v>2017</v>
      </c>
      <c r="W98" s="73" t="b">
        <f>IF(ASIC!H40=Data!W$60,ASIC!J40)</f>
        <v>0</v>
      </c>
      <c r="X98" s="73" t="b">
        <f>IF(ASIC!H40=Data!X$60,ASIC!J40)</f>
        <v>0</v>
      </c>
      <c r="Y98" s="73" t="b">
        <f>IF(ASIC!H40=Data!Y$60,ASIC!J40)</f>
        <v>0</v>
      </c>
      <c r="Z98" s="73" t="b">
        <f>IF(ASIC!H40=Data!Z$60,ASIC!J40)</f>
        <v>0</v>
      </c>
      <c r="AA98" s="73">
        <f>IF(ASIC!H40=Data!AA$60,ASIC!J40)</f>
        <v>1.67</v>
      </c>
    </row>
    <row r="99" spans="2:27" x14ac:dyDescent="0.3">
      <c r="B99" s="68">
        <f>ASIC!D41</f>
        <v>2017</v>
      </c>
      <c r="C99" s="66">
        <f>IF(ASIC!H41=$C$1,ASIC!J41)</f>
        <v>0</v>
      </c>
      <c r="D99" s="66" t="b">
        <f>IF(ASIC!H41=$D$60,ASIC!J41)</f>
        <v>0</v>
      </c>
      <c r="E99" s="66" t="b">
        <f>IF(ASIC!H41=$E$60,ASIC!J41)</f>
        <v>0</v>
      </c>
      <c r="F99" s="66" t="b">
        <f>IF(ASIC!H41=$F$60,ASIC!J41)</f>
        <v>0</v>
      </c>
      <c r="G99" s="66" t="b">
        <f>IF(ASIC!H41=$G$60,ASIC!J41)</f>
        <v>0</v>
      </c>
      <c r="J99"/>
      <c r="K99"/>
      <c r="L99" s="70">
        <v>2017</v>
      </c>
      <c r="M99" s="62"/>
      <c r="N99" s="62"/>
      <c r="O99" s="62"/>
      <c r="P99" s="62"/>
      <c r="Q99" s="62"/>
      <c r="R99" s="70">
        <v>2017</v>
      </c>
      <c r="S99" s="104"/>
      <c r="V99" s="70">
        <f>ASIC!D41</f>
        <v>2017</v>
      </c>
      <c r="W99" s="73">
        <f>IF(ASIC!H41=Data!W$60,ASIC!J41)</f>
        <v>0</v>
      </c>
      <c r="X99" s="73" t="b">
        <f>IF(ASIC!H41=Data!X$60,ASIC!J41)</f>
        <v>0</v>
      </c>
      <c r="Y99" s="73" t="b">
        <f>IF(ASIC!H41=Data!Y$60,ASIC!J41)</f>
        <v>0</v>
      </c>
      <c r="Z99" s="73" t="b">
        <f>IF(ASIC!H41=Data!Z$60,ASIC!J41)</f>
        <v>0</v>
      </c>
      <c r="AA99" s="73" t="b">
        <f>IF(ASIC!H41=Data!AA$60,ASIC!J41)</f>
        <v>0</v>
      </c>
    </row>
    <row r="100" spans="2:27" x14ac:dyDescent="0.3">
      <c r="B100" s="68">
        <f>ASIC!D42</f>
        <v>2017</v>
      </c>
      <c r="C100" s="66">
        <f>IF(ASIC!H42=$C$1,ASIC!J42)</f>
        <v>2.15</v>
      </c>
      <c r="D100" s="66" t="b">
        <f>IF(ASIC!H42=$D$60,ASIC!J42)</f>
        <v>0</v>
      </c>
      <c r="E100" s="66" t="b">
        <f>IF(ASIC!H42=$E$60,ASIC!J42)</f>
        <v>0</v>
      </c>
      <c r="F100" s="66" t="b">
        <f>IF(ASIC!H42=$F$60,ASIC!J42)</f>
        <v>0</v>
      </c>
      <c r="G100" s="66" t="b">
        <f>IF(ASIC!H42=$G$60,ASIC!J42)</f>
        <v>0</v>
      </c>
      <c r="J100"/>
      <c r="K100"/>
      <c r="L100" s="70">
        <v>2017</v>
      </c>
      <c r="M100" s="62">
        <v>2.15</v>
      </c>
      <c r="N100" s="62"/>
      <c r="O100" s="62"/>
      <c r="P100" s="62"/>
      <c r="Q100" s="62"/>
      <c r="R100" s="70">
        <v>2017</v>
      </c>
      <c r="S100" s="104">
        <f t="shared" si="1"/>
        <v>2.15</v>
      </c>
      <c r="V100" s="70">
        <f>ASIC!D42</f>
        <v>2017</v>
      </c>
      <c r="W100" s="73">
        <f>IF(ASIC!H42=Data!W$60,ASIC!J42)</f>
        <v>2.15</v>
      </c>
      <c r="X100" s="73" t="b">
        <f>IF(ASIC!H42=Data!X$60,ASIC!J42)</f>
        <v>0</v>
      </c>
      <c r="Y100" s="73" t="b">
        <f>IF(ASIC!H42=Data!Y$60,ASIC!J42)</f>
        <v>0</v>
      </c>
      <c r="Z100" s="73" t="b">
        <f>IF(ASIC!H42=Data!Z$60,ASIC!J42)</f>
        <v>0</v>
      </c>
      <c r="AA100" s="73" t="b">
        <f>IF(ASIC!H42=Data!AA$60,ASIC!J42)</f>
        <v>0</v>
      </c>
    </row>
    <row r="101" spans="2:27" x14ac:dyDescent="0.3">
      <c r="B101" s="68">
        <f>ASIC!D43</f>
        <v>2017</v>
      </c>
      <c r="C101" s="66">
        <f>IF(ASIC!H43=$C$1,ASIC!J43)</f>
        <v>18.099999999999994</v>
      </c>
      <c r="D101" s="66" t="b">
        <f>IF(ASIC!H43=$D$60,ASIC!J43)</f>
        <v>0</v>
      </c>
      <c r="E101" s="66" t="b">
        <f>IF(ASIC!H43=$E$60,ASIC!J43)</f>
        <v>0</v>
      </c>
      <c r="F101" s="66" t="b">
        <f>IF(ASIC!H43=$F$60,ASIC!J43)</f>
        <v>0</v>
      </c>
      <c r="G101" s="66" t="b">
        <f>IF(ASIC!H43=$G$60,ASIC!J43)</f>
        <v>0</v>
      </c>
      <c r="J101"/>
      <c r="K101"/>
      <c r="L101" s="70">
        <v>2017</v>
      </c>
      <c r="M101" s="62">
        <v>18.099999999999994</v>
      </c>
      <c r="N101" s="62"/>
      <c r="O101" s="62"/>
      <c r="P101" s="62"/>
      <c r="Q101" s="62"/>
      <c r="R101" s="70">
        <v>2017</v>
      </c>
      <c r="S101" s="104">
        <f t="shared" si="1"/>
        <v>18.099999999999994</v>
      </c>
      <c r="V101" s="70">
        <f>ASIC!D43</f>
        <v>2017</v>
      </c>
      <c r="W101" s="73">
        <f>IF(ASIC!H43=Data!W$60,ASIC!J43)</f>
        <v>18.099999999999994</v>
      </c>
      <c r="X101" s="73" t="b">
        <f>IF(ASIC!H43=Data!X$60,ASIC!J43)</f>
        <v>0</v>
      </c>
      <c r="Y101" s="73" t="b">
        <f>IF(ASIC!H43=Data!Y$60,ASIC!J43)</f>
        <v>0</v>
      </c>
      <c r="Z101" s="73" t="b">
        <f>IF(ASIC!H43=Data!Z$60,ASIC!J43)</f>
        <v>0</v>
      </c>
      <c r="AA101" s="73" t="b">
        <f>IF(ASIC!H43=Data!AA$60,ASIC!J43)</f>
        <v>0</v>
      </c>
    </row>
    <row r="102" spans="2:27" x14ac:dyDescent="0.3">
      <c r="B102" s="68">
        <f>ASIC!D44</f>
        <v>2017</v>
      </c>
      <c r="C102" s="66">
        <f>IF(ASIC!H44=$C$1,ASIC!J44)</f>
        <v>30.099999999999994</v>
      </c>
      <c r="D102" s="66" t="b">
        <f>IF(ASIC!H44=$D$60,ASIC!J44)</f>
        <v>0</v>
      </c>
      <c r="E102" s="66" t="b">
        <f>IF(ASIC!H44=$E$60,ASIC!J44)</f>
        <v>0</v>
      </c>
      <c r="F102" s="66" t="b">
        <f>IF(ASIC!H44=$F$60,ASIC!J44)</f>
        <v>0</v>
      </c>
      <c r="G102" s="66" t="b">
        <f>IF(ASIC!H44=$G$60,ASIC!J44)</f>
        <v>0</v>
      </c>
      <c r="J102"/>
      <c r="K102"/>
      <c r="L102" s="70">
        <v>2017</v>
      </c>
      <c r="M102" s="62">
        <v>30.099999999999994</v>
      </c>
      <c r="N102" s="62"/>
      <c r="O102" s="62"/>
      <c r="P102" s="62"/>
      <c r="Q102" s="62"/>
      <c r="R102" s="70">
        <v>2017</v>
      </c>
      <c r="S102" s="104">
        <f t="shared" si="1"/>
        <v>30.099999999999994</v>
      </c>
      <c r="V102" s="70">
        <f>ASIC!D44</f>
        <v>2017</v>
      </c>
      <c r="W102" s="73">
        <f>IF(ASIC!H44=Data!W$60,ASIC!J44)</f>
        <v>30.099999999999994</v>
      </c>
      <c r="X102" s="73" t="b">
        <f>IF(ASIC!H44=Data!X$60,ASIC!J44)</f>
        <v>0</v>
      </c>
      <c r="Y102" s="73" t="b">
        <f>IF(ASIC!H44=Data!Y$60,ASIC!J44)</f>
        <v>0</v>
      </c>
      <c r="Z102" s="73" t="b">
        <f>IF(ASIC!H44=Data!Z$60,ASIC!J44)</f>
        <v>0</v>
      </c>
      <c r="AA102" s="73" t="b">
        <f>IF(ASIC!H44=Data!AA$60,ASIC!J44)</f>
        <v>0</v>
      </c>
    </row>
    <row r="103" spans="2:27" x14ac:dyDescent="0.3">
      <c r="B103" s="68">
        <f>ASIC!D45</f>
        <v>2017</v>
      </c>
      <c r="C103" s="66" t="b">
        <f>IF(ASIC!H45=$C$1,ASIC!J45)</f>
        <v>0</v>
      </c>
      <c r="D103" s="66" t="b">
        <f>IF(ASIC!H45=$D$60,ASIC!J45)</f>
        <v>0</v>
      </c>
      <c r="E103" s="66" t="b">
        <f>IF(ASIC!H45=$E$60,ASIC!J45)</f>
        <v>0</v>
      </c>
      <c r="F103" s="66">
        <f>IF(ASIC!H45=$F$60,ASIC!J45)</f>
        <v>5.76</v>
      </c>
      <c r="G103" s="66" t="b">
        <f>IF(ASIC!H45=$G$60,ASIC!J45)</f>
        <v>0</v>
      </c>
      <c r="J103"/>
      <c r="K103"/>
      <c r="L103" s="70">
        <v>2017</v>
      </c>
      <c r="M103" s="62"/>
      <c r="N103" s="62"/>
      <c r="O103" s="62"/>
      <c r="P103" s="62">
        <v>5.76</v>
      </c>
      <c r="Q103" s="62"/>
      <c r="R103" s="70">
        <v>2017</v>
      </c>
      <c r="S103" s="104">
        <f t="shared" si="1"/>
        <v>5.76</v>
      </c>
      <c r="V103" s="70">
        <f>ASIC!D45</f>
        <v>2017</v>
      </c>
      <c r="W103" s="73" t="b">
        <f>IF(ASIC!H45=Data!W$60,ASIC!J45)</f>
        <v>0</v>
      </c>
      <c r="X103" s="73" t="b">
        <f>IF(ASIC!H45=Data!X$60,ASIC!J45)</f>
        <v>0</v>
      </c>
      <c r="Y103" s="73" t="b">
        <f>IF(ASIC!H45=Data!Y$60,ASIC!J45)</f>
        <v>0</v>
      </c>
      <c r="Z103" s="73">
        <f>IF(ASIC!H45=Data!Z$60,ASIC!J45)</f>
        <v>5.76</v>
      </c>
      <c r="AA103" s="73" t="b">
        <f>IF(ASIC!H45=Data!AA$60,ASIC!J45)</f>
        <v>0</v>
      </c>
    </row>
    <row r="104" spans="2:27" x14ac:dyDescent="0.3">
      <c r="B104" s="68">
        <f>ASIC!D46</f>
        <v>2017</v>
      </c>
      <c r="C104" s="66">
        <f>IF(ASIC!H46=$C$1,ASIC!J46)</f>
        <v>0</v>
      </c>
      <c r="D104" s="66" t="b">
        <f>IF(ASIC!H46=$D$60,ASIC!J46)</f>
        <v>0</v>
      </c>
      <c r="E104" s="66" t="b">
        <f>IF(ASIC!H46=$E$60,ASIC!J46)</f>
        <v>0</v>
      </c>
      <c r="F104" s="66" t="b">
        <f>IF(ASIC!H46=$F$60,ASIC!J46)</f>
        <v>0</v>
      </c>
      <c r="G104" s="66" t="b">
        <f>IF(ASIC!H46=$G$60,ASIC!J46)</f>
        <v>0</v>
      </c>
      <c r="J104"/>
      <c r="K104"/>
      <c r="L104" s="70">
        <v>2017</v>
      </c>
      <c r="M104" s="62"/>
      <c r="N104" s="62"/>
      <c r="O104" s="62"/>
      <c r="P104" s="62"/>
      <c r="Q104" s="62"/>
      <c r="R104" s="70">
        <v>2017</v>
      </c>
      <c r="S104" s="104"/>
      <c r="V104" s="70">
        <f>ASIC!D46</f>
        <v>2017</v>
      </c>
      <c r="W104" s="73">
        <f>IF(ASIC!H46=Data!W$60,ASIC!J46)</f>
        <v>0</v>
      </c>
      <c r="X104" s="73" t="b">
        <f>IF(ASIC!H46=Data!X$60,ASIC!J46)</f>
        <v>0</v>
      </c>
      <c r="Y104" s="73" t="b">
        <f>IF(ASIC!H46=Data!Y$60,ASIC!J46)</f>
        <v>0</v>
      </c>
      <c r="Z104" s="73" t="b">
        <f>IF(ASIC!H46=Data!Z$60,ASIC!J46)</f>
        <v>0</v>
      </c>
      <c r="AA104" s="73" t="b">
        <f>IF(ASIC!H46=Data!AA$60,ASIC!J46)</f>
        <v>0</v>
      </c>
    </row>
    <row r="105" spans="2:27" x14ac:dyDescent="0.3">
      <c r="B105" s="68">
        <f>ASIC!D47</f>
        <v>2017</v>
      </c>
      <c r="C105" s="66" t="b">
        <f>IF(ASIC!H47=$C$1,ASIC!J47)</f>
        <v>0</v>
      </c>
      <c r="D105" s="66" t="b">
        <f>IF(ASIC!H47=$D$60,ASIC!J47)</f>
        <v>0</v>
      </c>
      <c r="E105" s="66" t="b">
        <f>IF(ASIC!H47=$E$60,ASIC!J47)</f>
        <v>0</v>
      </c>
      <c r="F105" s="66" t="b">
        <f>IF(ASIC!H47=$F$60,ASIC!J47)</f>
        <v>0</v>
      </c>
      <c r="G105" s="66">
        <f>IF(ASIC!H47=$G$60,ASIC!J47)</f>
        <v>2.5499999999999998</v>
      </c>
      <c r="J105"/>
      <c r="K105"/>
      <c r="L105" s="70">
        <v>2017</v>
      </c>
      <c r="M105" s="62"/>
      <c r="N105" s="62"/>
      <c r="O105" s="62"/>
      <c r="P105" s="62"/>
      <c r="Q105" s="62">
        <v>2.5499999999999998</v>
      </c>
      <c r="R105" s="70">
        <v>2017</v>
      </c>
      <c r="S105" s="104">
        <f t="shared" si="1"/>
        <v>2.5499999999999998</v>
      </c>
      <c r="V105" s="70">
        <f>ASIC!D47</f>
        <v>2017</v>
      </c>
      <c r="W105" s="73" t="b">
        <f>IF(ASIC!H47=Data!W$60,ASIC!J47)</f>
        <v>0</v>
      </c>
      <c r="X105" s="73" t="b">
        <f>IF(ASIC!H47=Data!X$60,ASIC!J47)</f>
        <v>0</v>
      </c>
      <c r="Y105" s="73" t="b">
        <f>IF(ASIC!H47=Data!Y$60,ASIC!J47)</f>
        <v>0</v>
      </c>
      <c r="Z105" s="73" t="b">
        <f>IF(ASIC!H47=Data!Z$60,ASIC!J47)</f>
        <v>0</v>
      </c>
      <c r="AA105" s="73">
        <f>IF(ASIC!H47=Data!AA$60,ASIC!J47)</f>
        <v>2.5499999999999998</v>
      </c>
    </row>
    <row r="106" spans="2:27" x14ac:dyDescent="0.3">
      <c r="B106" s="68">
        <f>ASIC!D48</f>
        <v>2018</v>
      </c>
      <c r="C106" s="66">
        <f>IF(ASIC!H48=$C$1,ASIC!J48)</f>
        <v>0</v>
      </c>
      <c r="D106" s="66" t="b">
        <f>IF(ASIC!H48=$D$60,ASIC!J48)</f>
        <v>0</v>
      </c>
      <c r="E106" s="66" t="b">
        <f>IF(ASIC!H48=$E$60,ASIC!J48)</f>
        <v>0</v>
      </c>
      <c r="F106" s="66" t="b">
        <f>IF(ASIC!H48=$F$60,ASIC!J48)</f>
        <v>0</v>
      </c>
      <c r="G106" s="66" t="b">
        <f>IF(ASIC!H48=$G$60,ASIC!J48)</f>
        <v>0</v>
      </c>
      <c r="J106"/>
      <c r="K106"/>
      <c r="L106" s="70">
        <v>2018</v>
      </c>
      <c r="M106" s="62"/>
      <c r="N106" s="62"/>
      <c r="O106" s="62"/>
      <c r="P106" s="62"/>
      <c r="Q106" s="62"/>
      <c r="R106" s="70">
        <v>2018</v>
      </c>
      <c r="S106" s="104"/>
      <c r="V106" s="70">
        <f>ASIC!D48</f>
        <v>2018</v>
      </c>
      <c r="W106" s="73">
        <f>IF(ASIC!H48=Data!W$60,ASIC!J48)</f>
        <v>0</v>
      </c>
      <c r="X106" s="73" t="b">
        <f>IF(ASIC!H48=Data!X$60,ASIC!J48)</f>
        <v>0</v>
      </c>
      <c r="Y106" s="73" t="b">
        <f>IF(ASIC!H48=Data!Y$60,ASIC!J48)</f>
        <v>0</v>
      </c>
      <c r="Z106" s="73" t="b">
        <f>IF(ASIC!H48=Data!Z$60,ASIC!J48)</f>
        <v>0</v>
      </c>
      <c r="AA106" s="73" t="b">
        <f>IF(ASIC!H48=Data!AA$60,ASIC!J48)</f>
        <v>0</v>
      </c>
    </row>
    <row r="107" spans="2:27" x14ac:dyDescent="0.3">
      <c r="B107" s="68">
        <f>ASIC!D49</f>
        <v>2018</v>
      </c>
      <c r="C107" s="66">
        <f>IF(ASIC!H49=$C$1,ASIC!J49)</f>
        <v>5.39</v>
      </c>
      <c r="D107" s="66" t="b">
        <f>IF(ASIC!H49=$D$60,ASIC!J49)</f>
        <v>0</v>
      </c>
      <c r="E107" s="66" t="b">
        <f>IF(ASIC!H49=$E$60,ASIC!J49)</f>
        <v>0</v>
      </c>
      <c r="F107" s="66" t="b">
        <f>IF(ASIC!H49=$F$60,ASIC!J49)</f>
        <v>0</v>
      </c>
      <c r="G107" s="66" t="b">
        <f>IF(ASIC!H49=$G$60,ASIC!J49)</f>
        <v>0</v>
      </c>
      <c r="J107"/>
      <c r="K107"/>
      <c r="L107" s="70">
        <v>2018</v>
      </c>
      <c r="M107" s="62">
        <v>5.39</v>
      </c>
      <c r="N107" s="62"/>
      <c r="O107" s="62"/>
      <c r="P107" s="62"/>
      <c r="Q107" s="62"/>
      <c r="R107" s="70">
        <v>2018</v>
      </c>
      <c r="S107" s="104">
        <f t="shared" si="1"/>
        <v>5.39</v>
      </c>
      <c r="V107" s="70">
        <f>ASIC!D49</f>
        <v>2018</v>
      </c>
      <c r="W107" s="73">
        <f>IF(ASIC!H49=Data!W$60,ASIC!J49)</f>
        <v>5.39</v>
      </c>
      <c r="X107" s="73" t="b">
        <f>IF(ASIC!H49=Data!X$60,ASIC!J49)</f>
        <v>0</v>
      </c>
      <c r="Y107" s="73" t="b">
        <f>IF(ASIC!H49=Data!Y$60,ASIC!J49)</f>
        <v>0</v>
      </c>
      <c r="Z107" s="73" t="b">
        <f>IF(ASIC!H49=Data!Z$60,ASIC!J49)</f>
        <v>0</v>
      </c>
      <c r="AA107" s="73" t="b">
        <f>IF(ASIC!H49=Data!AA$60,ASIC!J49)</f>
        <v>0</v>
      </c>
    </row>
    <row r="108" spans="2:27" x14ac:dyDescent="0.3">
      <c r="B108" s="68">
        <f>ASIC!D50</f>
        <v>2018</v>
      </c>
      <c r="C108" s="66">
        <f>IF(ASIC!H50=$C$1,ASIC!J50)</f>
        <v>6.65</v>
      </c>
      <c r="D108" s="66" t="b">
        <f>IF(ASIC!H50=$D$60,ASIC!J50)</f>
        <v>0</v>
      </c>
      <c r="E108" s="66" t="b">
        <f>IF(ASIC!H50=$E$60,ASIC!J50)</f>
        <v>0</v>
      </c>
      <c r="F108" s="66" t="b">
        <f>IF(ASIC!H50=$F$60,ASIC!J50)</f>
        <v>0</v>
      </c>
      <c r="G108" s="66" t="b">
        <f>IF(ASIC!H50=$G$60,ASIC!J50)</f>
        <v>0</v>
      </c>
      <c r="J108"/>
      <c r="K108"/>
      <c r="L108" s="70">
        <v>2018</v>
      </c>
      <c r="M108" s="73">
        <v>6.65</v>
      </c>
      <c r="N108" s="73"/>
      <c r="O108" s="70"/>
      <c r="P108" s="70"/>
      <c r="Q108" s="70"/>
      <c r="R108" s="70">
        <v>2018</v>
      </c>
      <c r="S108" s="104">
        <f t="shared" si="1"/>
        <v>6.65</v>
      </c>
      <c r="V108" s="70">
        <f>ASIC!D50</f>
        <v>2018</v>
      </c>
      <c r="W108" s="73">
        <f>IF(ASIC!H50=Data!W$60,ASIC!J50)</f>
        <v>6.65</v>
      </c>
      <c r="X108" s="73" t="b">
        <f>IF(ASIC!H50=Data!X$60,ASIC!J50)</f>
        <v>0</v>
      </c>
      <c r="Y108" s="73" t="b">
        <f>IF(ASIC!H50=Data!Y$60,ASIC!J50)</f>
        <v>0</v>
      </c>
      <c r="Z108" s="73" t="b">
        <f>IF(ASIC!H50=Data!Z$60,ASIC!J50)</f>
        <v>0</v>
      </c>
      <c r="AA108" s="73" t="b">
        <f>IF(ASIC!H50=Data!AA$60,ASIC!J50)</f>
        <v>0</v>
      </c>
    </row>
    <row r="109" spans="2:27" x14ac:dyDescent="0.3">
      <c r="B109" s="68">
        <f>ASIC!D51</f>
        <v>2018</v>
      </c>
      <c r="C109" s="66">
        <f>IF(ASIC!H51=$C$1,ASIC!J51)</f>
        <v>5.62</v>
      </c>
      <c r="D109" s="66" t="b">
        <f>IF(ASIC!H51=$D$60,ASIC!J51)</f>
        <v>0</v>
      </c>
      <c r="E109" s="66" t="b">
        <f>IF(ASIC!H51=$E$60,ASIC!J51)</f>
        <v>0</v>
      </c>
      <c r="F109" s="66" t="b">
        <f>IF(ASIC!H51=$F$60,ASIC!J51)</f>
        <v>0</v>
      </c>
      <c r="G109" s="66" t="b">
        <f>IF(ASIC!H51=$G$60,ASIC!J51)</f>
        <v>0</v>
      </c>
      <c r="J109"/>
      <c r="K109"/>
      <c r="L109" s="70">
        <v>2018</v>
      </c>
      <c r="M109" s="73">
        <v>5.62</v>
      </c>
      <c r="N109" s="73"/>
      <c r="O109" s="70"/>
      <c r="P109" s="70"/>
      <c r="Q109" s="70"/>
      <c r="R109" s="70">
        <v>2018</v>
      </c>
      <c r="S109" s="104">
        <f t="shared" si="1"/>
        <v>5.62</v>
      </c>
      <c r="V109" s="70">
        <f>ASIC!D51</f>
        <v>2018</v>
      </c>
      <c r="W109" s="73">
        <f>IF(ASIC!H51=Data!W$60,ASIC!J51)</f>
        <v>5.62</v>
      </c>
      <c r="X109" s="73" t="b">
        <f>IF(ASIC!H51=Data!X$60,ASIC!J51)</f>
        <v>0</v>
      </c>
      <c r="Y109" s="73" t="b">
        <f>IF(ASIC!H51=Data!Y$60,ASIC!J51)</f>
        <v>0</v>
      </c>
      <c r="Z109" s="73" t="b">
        <f>IF(ASIC!H51=Data!Z$60,ASIC!J51)</f>
        <v>0</v>
      </c>
      <c r="AA109" s="73" t="b">
        <f>IF(ASIC!H51=Data!AA$60,ASIC!J51)</f>
        <v>0</v>
      </c>
    </row>
    <row r="110" spans="2:27" x14ac:dyDescent="0.3">
      <c r="B110" s="68">
        <f>ASIC!D52</f>
        <v>2018</v>
      </c>
      <c r="C110" s="66">
        <f>IF(ASIC!H52=$C$1,ASIC!J52)</f>
        <v>4.9800000000000004</v>
      </c>
      <c r="D110" s="66" t="b">
        <f>IF(ASIC!H52=$D$60,ASIC!J52)</f>
        <v>0</v>
      </c>
      <c r="E110" s="66" t="b">
        <f>IF(ASIC!H52=$E$60,ASIC!J52)</f>
        <v>0</v>
      </c>
      <c r="F110" s="66" t="b">
        <f>IF(ASIC!H52=$F$60,ASIC!J52)</f>
        <v>0</v>
      </c>
      <c r="G110" s="66" t="b">
        <f>IF(ASIC!H52=$G$60,ASIC!J52)</f>
        <v>0</v>
      </c>
      <c r="J110"/>
      <c r="K110"/>
      <c r="L110" s="70">
        <v>2018</v>
      </c>
      <c r="M110" s="73">
        <v>4.9800000000000004</v>
      </c>
      <c r="N110" s="73"/>
      <c r="O110" s="70"/>
      <c r="P110" s="70"/>
      <c r="Q110" s="70"/>
      <c r="R110" s="70">
        <v>2018</v>
      </c>
      <c r="S110" s="104">
        <f t="shared" si="1"/>
        <v>4.9800000000000004</v>
      </c>
      <c r="V110" s="70"/>
      <c r="W110" s="73"/>
      <c r="X110" s="73"/>
      <c r="Y110" s="73"/>
      <c r="Z110" s="73"/>
      <c r="AA110" s="73"/>
    </row>
    <row r="111" spans="2:27" x14ac:dyDescent="0.3">
      <c r="B111" s="68">
        <f>ASIC!D53</f>
        <v>2018</v>
      </c>
      <c r="C111" s="66" t="b">
        <f>IF(ASIC!H53=$C$1,ASIC!J53)</f>
        <v>0</v>
      </c>
      <c r="D111" s="66" t="str">
        <f>IF(ASIC!H53=$D$60,ASIC!J53)</f>
        <v>--</v>
      </c>
      <c r="E111" s="66" t="b">
        <f>IF(ASIC!H53=$E$60,ASIC!J53)</f>
        <v>0</v>
      </c>
      <c r="F111" s="66" t="b">
        <f>IF(ASIC!H53=$F$60,ASIC!J53)</f>
        <v>0</v>
      </c>
      <c r="G111" s="66" t="b">
        <f>IF(ASIC!H53=$G$60,ASIC!J53)</f>
        <v>0</v>
      </c>
      <c r="J111"/>
      <c r="K111"/>
      <c r="L111" s="70">
        <v>2018</v>
      </c>
      <c r="M111" s="182"/>
      <c r="N111" s="182"/>
      <c r="O111" s="66"/>
      <c r="P111" s="66"/>
      <c r="Q111" s="66"/>
      <c r="R111" s="70">
        <v>2018</v>
      </c>
      <c r="S111" s="104"/>
      <c r="V111" s="70"/>
    </row>
    <row r="112" spans="2:27" x14ac:dyDescent="0.3">
      <c r="B112" s="68">
        <f>ASIC!D54</f>
        <v>2018</v>
      </c>
      <c r="C112" s="66" t="b">
        <f>IF(ASIC!H54=$C$1,ASIC!J54)</f>
        <v>0</v>
      </c>
      <c r="D112" s="66" t="b">
        <f>IF(ASIC!H54=$D$60,ASIC!J54)</f>
        <v>0</v>
      </c>
      <c r="E112" s="66" t="b">
        <f>IF(ASIC!H54=$E$60,ASIC!J54)</f>
        <v>0</v>
      </c>
      <c r="F112" s="66" t="b">
        <f>IF(ASIC!H54=$F$60,ASIC!J54)</f>
        <v>0</v>
      </c>
      <c r="G112" s="66">
        <f>IF(ASIC!H54=$G$60,ASIC!J54)</f>
        <v>2.5499999999999998</v>
      </c>
      <c r="J112"/>
      <c r="K112"/>
      <c r="L112" s="70">
        <v>2018</v>
      </c>
      <c r="M112" s="182"/>
      <c r="N112" s="182"/>
      <c r="O112" s="66"/>
      <c r="P112" s="66"/>
      <c r="Q112" s="70">
        <v>2.5499999999999998</v>
      </c>
      <c r="R112" s="70">
        <v>2018</v>
      </c>
      <c r="S112" s="104">
        <f t="shared" si="1"/>
        <v>2.5499999999999998</v>
      </c>
      <c r="V112" s="105"/>
    </row>
    <row r="113" spans="2:27" x14ac:dyDescent="0.3">
      <c r="B113" s="68">
        <f>ASIC!D55</f>
        <v>2018</v>
      </c>
      <c r="C113" s="66">
        <f>IF(ASIC!H55=$C$1,ASIC!J55)</f>
        <v>4.2699999999999996</v>
      </c>
      <c r="D113" s="66" t="b">
        <f>IF(ASIC!H55=$D$60,ASIC!J55)</f>
        <v>0</v>
      </c>
      <c r="E113" s="66" t="b">
        <f>IF(ASIC!H55=$E$60,ASIC!J55)</f>
        <v>0</v>
      </c>
      <c r="F113" s="66" t="b">
        <f>IF(ASIC!H55=$F$60,ASIC!J55)</f>
        <v>0</v>
      </c>
      <c r="G113" s="66" t="b">
        <f>IF(ASIC!H55=$G$60,ASIC!J55)</f>
        <v>0</v>
      </c>
      <c r="J113"/>
      <c r="K113"/>
      <c r="L113" s="70">
        <v>2018</v>
      </c>
      <c r="M113" s="73">
        <v>4.2699999999999996</v>
      </c>
      <c r="N113" s="182"/>
      <c r="O113" s="66"/>
      <c r="P113" s="66"/>
      <c r="Q113" s="66"/>
      <c r="R113" s="70">
        <v>2018</v>
      </c>
      <c r="S113" s="104">
        <f t="shared" si="1"/>
        <v>4.2699999999999996</v>
      </c>
      <c r="V113" s="105"/>
    </row>
    <row r="114" spans="2:27" x14ac:dyDescent="0.3">
      <c r="B114" s="68"/>
      <c r="C114" s="66"/>
      <c r="D114" s="66"/>
      <c r="E114" s="66"/>
      <c r="F114" s="66"/>
      <c r="G114" s="66"/>
      <c r="J114"/>
      <c r="K114"/>
      <c r="L114" s="70"/>
      <c r="M114" s="182"/>
      <c r="N114" s="182"/>
      <c r="O114" s="66"/>
      <c r="P114" s="66"/>
      <c r="Q114" s="66"/>
      <c r="R114" s="66"/>
      <c r="V114" s="105"/>
    </row>
    <row r="115" spans="2:27" x14ac:dyDescent="0.3">
      <c r="B115" s="68"/>
      <c r="C115" s="66"/>
      <c r="D115" s="66"/>
      <c r="E115" s="66"/>
      <c r="F115" s="66"/>
      <c r="G115" s="66"/>
      <c r="J115"/>
      <c r="K115"/>
      <c r="M115" s="72"/>
      <c r="N115" s="72"/>
      <c r="V115" s="105"/>
    </row>
    <row r="116" spans="2:27" x14ac:dyDescent="0.3">
      <c r="J116"/>
      <c r="K116"/>
      <c r="M116" s="72"/>
      <c r="N116" s="72"/>
      <c r="V116" s="105"/>
    </row>
    <row r="117" spans="2:27" x14ac:dyDescent="0.3">
      <c r="J117"/>
      <c r="K117"/>
      <c r="M117" s="72"/>
      <c r="N117" s="72"/>
      <c r="V117" s="105"/>
    </row>
    <row r="118" spans="2:27" x14ac:dyDescent="0.3">
      <c r="J118"/>
      <c r="K118"/>
      <c r="M118" s="72"/>
      <c r="N118" s="72"/>
      <c r="V118" s="105"/>
    </row>
    <row r="119" spans="2:27" x14ac:dyDescent="0.3">
      <c r="J119"/>
      <c r="K119"/>
      <c r="M119" s="72"/>
      <c r="N119" s="72"/>
    </row>
    <row r="120" spans="2:27" x14ac:dyDescent="0.3">
      <c r="J120"/>
      <c r="K120"/>
      <c r="M120" s="72"/>
      <c r="N120" s="72"/>
    </row>
    <row r="121" spans="2:27" x14ac:dyDescent="0.3">
      <c r="J121"/>
      <c r="K121"/>
      <c r="M121" s="72"/>
      <c r="N121" s="72"/>
    </row>
    <row r="122" spans="2:27" x14ac:dyDescent="0.3">
      <c r="B122" s="66" t="s">
        <v>125</v>
      </c>
      <c r="C122" s="66" t="s">
        <v>110</v>
      </c>
      <c r="D122" s="66" t="s">
        <v>111</v>
      </c>
      <c r="E122" s="66" t="s">
        <v>112</v>
      </c>
      <c r="F122" s="66" t="s">
        <v>128</v>
      </c>
      <c r="G122" s="66" t="s">
        <v>138</v>
      </c>
      <c r="J122"/>
      <c r="K122"/>
      <c r="L122" t="s">
        <v>125</v>
      </c>
      <c r="M122" s="72" t="s">
        <v>110</v>
      </c>
      <c r="N122" s="72" t="s">
        <v>111</v>
      </c>
      <c r="O122" t="s">
        <v>112</v>
      </c>
      <c r="P122" t="s">
        <v>128</v>
      </c>
      <c r="Q122" t="s">
        <v>138</v>
      </c>
      <c r="S122" s="69" t="s">
        <v>240</v>
      </c>
      <c r="V122" s="74" t="s">
        <v>284</v>
      </c>
      <c r="W122" s="75" t="s">
        <v>110</v>
      </c>
      <c r="X122" s="75" t="s">
        <v>111</v>
      </c>
      <c r="Y122" s="75" t="s">
        <v>112</v>
      </c>
      <c r="Z122" s="72" t="s">
        <v>128</v>
      </c>
      <c r="AA122" s="72" t="s">
        <v>138</v>
      </c>
    </row>
    <row r="123" spans="2:27" x14ac:dyDescent="0.3">
      <c r="B123" s="68">
        <f>ASIC!D3</f>
        <v>2000</v>
      </c>
      <c r="C123" s="66">
        <f>IF(ASIC!H3=$C$122,ASIC!V3)</f>
        <v>8333.3333333333339</v>
      </c>
      <c r="D123" s="66" t="b">
        <f>IF(ASIC!H3=$D$122,ASIC!V3)</f>
        <v>0</v>
      </c>
      <c r="E123" s="66" t="b">
        <f>IF(ASIC!H3=$E$122,ASIC!V3)</f>
        <v>0</v>
      </c>
      <c r="F123" s="66" t="b">
        <f>IF(ASIC!H3=$F$122,ASIC!V3)</f>
        <v>0</v>
      </c>
      <c r="G123" s="66" t="b">
        <f>IF(ASIC!H3=$G$122,ASIC!V3)</f>
        <v>0</v>
      </c>
      <c r="J123"/>
      <c r="K123"/>
      <c r="L123" s="70">
        <v>2000</v>
      </c>
      <c r="M123" s="73">
        <v>8333.3333333333339</v>
      </c>
      <c r="N123" s="73"/>
      <c r="O123" s="70"/>
      <c r="P123" s="70"/>
      <c r="Q123" s="70"/>
      <c r="R123" s="70">
        <v>2000</v>
      </c>
      <c r="S123" s="104">
        <f t="shared" ref="S123:S171" si="2">SUM(M123:Q123)</f>
        <v>8333.3333333333339</v>
      </c>
      <c r="V123" s="70">
        <f>ASIC!D3</f>
        <v>2000</v>
      </c>
      <c r="W123" s="73">
        <f>IF(ASIC!H3=Data!W$122,ASIC!V3)</f>
        <v>8333.3333333333339</v>
      </c>
      <c r="X123" s="73" t="b">
        <f>IF(ASIC!H3=Data!X$122,ASIC!V3)</f>
        <v>0</v>
      </c>
      <c r="Y123" s="73" t="b">
        <f>IF(ASIC!H3=Data!Y$122,ASIC!V3)</f>
        <v>0</v>
      </c>
      <c r="Z123" s="73" t="b">
        <f>IF(ASIC!H3=Data!Z$122,ASIC!V3)</f>
        <v>0</v>
      </c>
      <c r="AA123" s="73" t="b">
        <f>IF(ASIC!H3=Data!AA$122,ASIC!V3)</f>
        <v>0</v>
      </c>
    </row>
    <row r="124" spans="2:27" x14ac:dyDescent="0.3">
      <c r="B124" s="68">
        <f>ASIC!D4</f>
        <v>2004</v>
      </c>
      <c r="C124" s="66" t="b">
        <f>IF(ASIC!H4=$C$122,ASIC!V4)</f>
        <v>0</v>
      </c>
      <c r="D124" s="66" t="str">
        <f>IF(ASIC!H4=$D$122,ASIC!V4)</f>
        <v>N/A</v>
      </c>
      <c r="E124" s="66" t="b">
        <f>IF(ASIC!H4=$E$122,ASIC!V4)</f>
        <v>0</v>
      </c>
      <c r="F124" s="66" t="b">
        <f>IF(ASIC!H4=$F$122,ASIC!V4)</f>
        <v>0</v>
      </c>
      <c r="G124" s="66" t="b">
        <f>IF(ASIC!H4=$G$122,ASIC!V4)</f>
        <v>0</v>
      </c>
      <c r="J124"/>
      <c r="K124"/>
      <c r="L124" s="70">
        <v>2004</v>
      </c>
      <c r="M124" s="73"/>
      <c r="N124" s="73"/>
      <c r="O124" s="70"/>
      <c r="P124" s="70"/>
      <c r="Q124" s="70"/>
      <c r="R124" s="70">
        <v>2004</v>
      </c>
      <c r="S124" s="104"/>
      <c r="V124" s="70">
        <f>ASIC!D4</f>
        <v>2004</v>
      </c>
      <c r="W124" s="73" t="b">
        <f>IF(ASIC!H4=Data!W$122,ASIC!V4)</f>
        <v>0</v>
      </c>
      <c r="X124" s="73" t="str">
        <f>IF(ASIC!H4=Data!X$122,ASIC!V4)</f>
        <v>N/A</v>
      </c>
      <c r="Y124" s="73" t="b">
        <f>IF(ASIC!H4=Data!Y$122,ASIC!V4)</f>
        <v>0</v>
      </c>
      <c r="Z124" s="73" t="b">
        <f>IF(ASIC!H4=Data!Z$122,ASIC!V4)</f>
        <v>0</v>
      </c>
      <c r="AA124" s="73" t="b">
        <f>IF(ASIC!H4=Data!AA$122,ASIC!V4)</f>
        <v>0</v>
      </c>
    </row>
    <row r="125" spans="2:27" x14ac:dyDescent="0.3">
      <c r="B125" s="68">
        <f>ASIC!D5</f>
        <v>2005</v>
      </c>
      <c r="C125" s="66" t="b">
        <f>IF(ASIC!H5=$C$122,ASIC!V5)</f>
        <v>0</v>
      </c>
      <c r="D125" s="66">
        <f>IF(ASIC!H5=$D$122,ASIC!V5)</f>
        <v>0.17125000000000001</v>
      </c>
      <c r="E125" s="66" t="b">
        <f>IF(ASIC!H5=$E$122,ASIC!V5)</f>
        <v>0</v>
      </c>
      <c r="F125" s="66" t="b">
        <f>IF(ASIC!H5=$F$122,ASIC!V5)</f>
        <v>0</v>
      </c>
      <c r="G125" s="66" t="b">
        <f>IF(ASIC!H5=$G$122,ASIC!V5)</f>
        <v>0</v>
      </c>
      <c r="J125"/>
      <c r="K125"/>
      <c r="L125" s="70">
        <v>2005</v>
      </c>
      <c r="M125" s="73"/>
      <c r="N125" s="73">
        <v>0.17125000000000001</v>
      </c>
      <c r="O125" s="70"/>
      <c r="P125" s="70"/>
      <c r="Q125" s="70"/>
      <c r="R125" s="70">
        <v>2005</v>
      </c>
      <c r="S125" s="104">
        <f t="shared" si="2"/>
        <v>0.17125000000000001</v>
      </c>
      <c r="V125" s="70">
        <f>ASIC!D5</f>
        <v>2005</v>
      </c>
      <c r="W125" s="73" t="b">
        <f>IF(ASIC!H5=Data!W$122,ASIC!V5)</f>
        <v>0</v>
      </c>
      <c r="X125" s="73">
        <f>IF(ASIC!H5=Data!X$122,ASIC!V5)</f>
        <v>0.17125000000000001</v>
      </c>
      <c r="Y125" s="73" t="b">
        <f>IF(ASIC!H5=Data!Y$122,ASIC!V5)</f>
        <v>0</v>
      </c>
      <c r="Z125" s="73" t="b">
        <f>IF(ASIC!H5=Data!Z$122,ASIC!V5)</f>
        <v>0</v>
      </c>
      <c r="AA125" s="73" t="b">
        <f>IF(ASIC!H5=Data!AA$122,ASIC!V5)</f>
        <v>0</v>
      </c>
    </row>
    <row r="126" spans="2:27" x14ac:dyDescent="0.3">
      <c r="B126" s="68">
        <f>ASIC!D6</f>
        <v>2007</v>
      </c>
      <c r="C126" s="66" t="b">
        <f>IF(ASIC!H6=$C$122,ASIC!V6)</f>
        <v>0</v>
      </c>
      <c r="D126" s="66" t="b">
        <f>IF(ASIC!H6=$D$122,ASIC!V6)</f>
        <v>0</v>
      </c>
      <c r="E126" s="66">
        <f>IF(ASIC!H6=$E$122,ASIC!V6)</f>
        <v>0.93</v>
      </c>
      <c r="F126" s="66" t="b">
        <f>IF(ASIC!H6=$F$122,ASIC!V6)</f>
        <v>0</v>
      </c>
      <c r="G126" s="66" t="b">
        <f>IF(ASIC!H6=$G$122,ASIC!V6)</f>
        <v>0</v>
      </c>
      <c r="J126"/>
      <c r="K126"/>
      <c r="L126" s="70">
        <v>2007</v>
      </c>
      <c r="M126" s="73"/>
      <c r="N126" s="73"/>
      <c r="O126" s="70">
        <v>0.93</v>
      </c>
      <c r="P126" s="70"/>
      <c r="Q126" s="70"/>
      <c r="R126" s="70">
        <v>2007</v>
      </c>
      <c r="S126" s="104">
        <f t="shared" si="2"/>
        <v>0.93</v>
      </c>
      <c r="V126" s="70">
        <f>ASIC!D6</f>
        <v>2007</v>
      </c>
      <c r="W126" s="73" t="b">
        <f>IF(ASIC!H6=Data!W$122,ASIC!V6)</f>
        <v>0</v>
      </c>
      <c r="X126" s="73" t="b">
        <f>IF(ASIC!H6=Data!X$122,ASIC!V6)</f>
        <v>0</v>
      </c>
      <c r="Y126" s="73">
        <f>IF(ASIC!H6=Data!Y$122,ASIC!V6)</f>
        <v>0.93</v>
      </c>
      <c r="Z126" s="73" t="b">
        <f>IF(ASIC!H6=Data!Z$122,ASIC!V6)</f>
        <v>0</v>
      </c>
      <c r="AA126" s="73" t="b">
        <f>IF(ASIC!H6=Data!AA$122,ASIC!V6)</f>
        <v>0</v>
      </c>
    </row>
    <row r="127" spans="2:27" x14ac:dyDescent="0.3">
      <c r="B127" s="68">
        <f>ASIC!D7</f>
        <v>2008</v>
      </c>
      <c r="C127" s="66" t="b">
        <f>IF(ASIC!H7=$C$122,ASIC!V7)</f>
        <v>0</v>
      </c>
      <c r="D127" s="66" t="b">
        <f>IF(ASIC!H7=$D$122,ASIC!V7)</f>
        <v>0</v>
      </c>
      <c r="E127" s="66">
        <f>IF(ASIC!H7=$E$122,ASIC!V7)</f>
        <v>0.93</v>
      </c>
      <c r="F127" s="66" t="b">
        <f>IF(ASIC!H7=$F$122,ASIC!V7)</f>
        <v>0</v>
      </c>
      <c r="G127" s="66" t="b">
        <f>IF(ASIC!H7=$G$122,ASIC!V7)</f>
        <v>0</v>
      </c>
      <c r="J127"/>
      <c r="K127"/>
      <c r="L127" s="70">
        <v>2008</v>
      </c>
      <c r="M127" s="73"/>
      <c r="N127" s="73"/>
      <c r="O127" s="70">
        <v>0.93</v>
      </c>
      <c r="P127" s="70"/>
      <c r="Q127" s="70"/>
      <c r="R127" s="70">
        <v>2008</v>
      </c>
      <c r="S127" s="104">
        <f t="shared" si="2"/>
        <v>0.93</v>
      </c>
      <c r="V127" s="70">
        <f>ASIC!D7</f>
        <v>2008</v>
      </c>
      <c r="W127" s="73" t="b">
        <f>IF(ASIC!H7=Data!W$122,ASIC!V7)</f>
        <v>0</v>
      </c>
      <c r="X127" s="73" t="b">
        <f>IF(ASIC!H7=Data!X$122,ASIC!V7)</f>
        <v>0</v>
      </c>
      <c r="Y127" s="73">
        <f>IF(ASIC!H7=Data!Y$122,ASIC!V7)</f>
        <v>0.93</v>
      </c>
      <c r="Z127" s="73" t="b">
        <f>IF(ASIC!H7=Data!Z$122,ASIC!V7)</f>
        <v>0</v>
      </c>
      <c r="AA127" s="73" t="b">
        <f>IF(ASIC!H7=Data!AA$122,ASIC!V7)</f>
        <v>0</v>
      </c>
    </row>
    <row r="128" spans="2:27" x14ac:dyDescent="0.3">
      <c r="B128" s="68">
        <f>ASIC!D8</f>
        <v>2008</v>
      </c>
      <c r="C128" s="66" t="b">
        <f>IF(ASIC!H8=$C$122,ASIC!V8)</f>
        <v>0</v>
      </c>
      <c r="D128" s="66" t="b">
        <f>IF(ASIC!H8=$D$122,ASIC!V8)</f>
        <v>0</v>
      </c>
      <c r="E128" s="66">
        <f>IF(ASIC!H8=$E$122,ASIC!V8)</f>
        <v>0.93</v>
      </c>
      <c r="F128" s="66" t="b">
        <f>IF(ASIC!H8=$F$122,ASIC!V8)</f>
        <v>0</v>
      </c>
      <c r="G128" s="66" t="b">
        <f>IF(ASIC!H8=$G$122,ASIC!V8)</f>
        <v>0</v>
      </c>
      <c r="J128"/>
      <c r="K128"/>
      <c r="L128" s="70">
        <v>2008</v>
      </c>
      <c r="M128" s="73"/>
      <c r="N128" s="73"/>
      <c r="O128" s="70">
        <v>0.93</v>
      </c>
      <c r="P128" s="70"/>
      <c r="Q128" s="70"/>
      <c r="R128" s="70">
        <v>2008</v>
      </c>
      <c r="S128" s="104">
        <f t="shared" si="2"/>
        <v>0.93</v>
      </c>
      <c r="V128" s="70">
        <f>ASIC!D8</f>
        <v>2008</v>
      </c>
      <c r="W128" s="73" t="b">
        <f>IF(ASIC!H8=Data!W$122,ASIC!V8)</f>
        <v>0</v>
      </c>
      <c r="X128" s="73" t="b">
        <f>IF(ASIC!H8=Data!X$122,ASIC!V8)</f>
        <v>0</v>
      </c>
      <c r="Y128" s="73">
        <f>IF(ASIC!H8=Data!Y$122,ASIC!V8)</f>
        <v>0.93</v>
      </c>
      <c r="Z128" s="73" t="b">
        <f>IF(ASIC!H8=Data!Z$122,ASIC!V8)</f>
        <v>0</v>
      </c>
      <c r="AA128" s="73" t="b">
        <f>IF(ASIC!H8=Data!AA$122,ASIC!V8)</f>
        <v>0</v>
      </c>
    </row>
    <row r="129" spans="2:27" x14ac:dyDescent="0.3">
      <c r="B129" s="68">
        <f>ASIC!D9</f>
        <v>2008</v>
      </c>
      <c r="C129" s="66">
        <f>IF(ASIC!H9=$C$122,ASIC!V9)</f>
        <v>39.0625</v>
      </c>
      <c r="D129" s="66" t="b">
        <f>IF(ASIC!H9=$D$122,ASIC!V9)</f>
        <v>0</v>
      </c>
      <c r="E129" s="66" t="b">
        <f>IF(ASIC!H9=$E$122,ASIC!V9)</f>
        <v>0</v>
      </c>
      <c r="F129" s="66" t="b">
        <f>IF(ASIC!H9=$F$122,ASIC!V9)</f>
        <v>0</v>
      </c>
      <c r="G129" s="66" t="b">
        <f>IF(ASIC!H9=$G$122,ASIC!V9)</f>
        <v>0</v>
      </c>
      <c r="J129"/>
      <c r="K129"/>
      <c r="L129" s="70">
        <v>2008</v>
      </c>
      <c r="M129" s="73">
        <v>39.0625</v>
      </c>
      <c r="N129" s="73"/>
      <c r="O129" s="70"/>
      <c r="P129" s="70"/>
      <c r="Q129" s="70"/>
      <c r="R129" s="70">
        <v>2008</v>
      </c>
      <c r="S129" s="104">
        <f t="shared" si="2"/>
        <v>39.0625</v>
      </c>
      <c r="V129" s="70">
        <f>ASIC!D9</f>
        <v>2008</v>
      </c>
      <c r="W129" s="73">
        <f>IF(ASIC!H9=Data!W$122,ASIC!V9)</f>
        <v>39.0625</v>
      </c>
      <c r="X129" s="73" t="b">
        <f>IF(ASIC!H9=Data!X$122,ASIC!V9)</f>
        <v>0</v>
      </c>
      <c r="Y129" s="73" t="b">
        <f>IF(ASIC!H9=Data!Y$122,ASIC!V9)</f>
        <v>0</v>
      </c>
      <c r="Z129" s="73" t="b">
        <f>IF(ASIC!H9=Data!Z$122,ASIC!V9)</f>
        <v>0</v>
      </c>
      <c r="AA129" s="73" t="b">
        <f>IF(ASIC!H9=Data!AA$122,ASIC!V9)</f>
        <v>0</v>
      </c>
    </row>
    <row r="130" spans="2:27" x14ac:dyDescent="0.3">
      <c r="B130" s="68">
        <f>ASIC!D10</f>
        <v>2009</v>
      </c>
      <c r="C130" s="66">
        <f>IF(ASIC!H10=$C$122,ASIC!V10)</f>
        <v>49.479166666666664</v>
      </c>
      <c r="D130" s="66" t="b">
        <f>IF(ASIC!H10=$D$122,ASIC!V10)</f>
        <v>0</v>
      </c>
      <c r="E130" s="66" t="b">
        <f>IF(ASIC!H10=$E$122,ASIC!V10)</f>
        <v>0</v>
      </c>
      <c r="F130" s="66" t="b">
        <f>IF(ASIC!H10=$F$122,ASIC!V10)</f>
        <v>0</v>
      </c>
      <c r="G130" s="66" t="b">
        <f>IF(ASIC!H10=$G$122,ASIC!V10)</f>
        <v>0</v>
      </c>
      <c r="J130"/>
      <c r="K130"/>
      <c r="L130" s="70">
        <v>2009</v>
      </c>
      <c r="M130" s="73">
        <v>49.479166666666664</v>
      </c>
      <c r="N130" s="73"/>
      <c r="O130" s="70"/>
      <c r="P130" s="70"/>
      <c r="Q130" s="70"/>
      <c r="R130" s="70">
        <v>2009</v>
      </c>
      <c r="S130" s="104">
        <f t="shared" si="2"/>
        <v>49.479166666666664</v>
      </c>
      <c r="V130" s="70">
        <f>ASIC!D10</f>
        <v>2009</v>
      </c>
      <c r="W130" s="73">
        <f>IF(ASIC!H10=Data!W$122,ASIC!V10)</f>
        <v>49.479166666666664</v>
      </c>
      <c r="X130" s="73" t="b">
        <f>IF(ASIC!H10=Data!X$122,ASIC!V10)</f>
        <v>0</v>
      </c>
      <c r="Y130" s="73" t="b">
        <f>IF(ASIC!H10=Data!Y$122,ASIC!V10)</f>
        <v>0</v>
      </c>
      <c r="Z130" s="73" t="b">
        <f>IF(ASIC!H10=Data!Z$122,ASIC!V10)</f>
        <v>0</v>
      </c>
      <c r="AA130" s="73" t="b">
        <f>IF(ASIC!H10=Data!AA$122,ASIC!V10)</f>
        <v>0</v>
      </c>
    </row>
    <row r="131" spans="2:27" x14ac:dyDescent="0.3">
      <c r="B131" s="68">
        <f>ASIC!D11</f>
        <v>2010</v>
      </c>
      <c r="C131" s="66">
        <f>IF(ASIC!H11=$C$122,ASIC!V11)</f>
        <v>0.34</v>
      </c>
      <c r="D131" s="66" t="b">
        <f>IF(ASIC!H11=$D$122,ASIC!V11)</f>
        <v>0</v>
      </c>
      <c r="E131" s="66" t="b">
        <f>IF(ASIC!H11=$E$122,ASIC!V11)</f>
        <v>0</v>
      </c>
      <c r="F131" s="66" t="b">
        <f>IF(ASIC!H11=$F$122,ASIC!V11)</f>
        <v>0</v>
      </c>
      <c r="G131" s="66" t="b">
        <f>IF(ASIC!H11=$G$122,ASIC!V11)</f>
        <v>0</v>
      </c>
      <c r="J131"/>
      <c r="K131"/>
      <c r="L131" s="70">
        <v>2010</v>
      </c>
      <c r="M131" s="73">
        <v>0.34</v>
      </c>
      <c r="N131" s="73"/>
      <c r="O131" s="70"/>
      <c r="P131" s="70"/>
      <c r="Q131" s="70"/>
      <c r="R131" s="70">
        <v>2010</v>
      </c>
      <c r="S131" s="104">
        <f t="shared" si="2"/>
        <v>0.34</v>
      </c>
      <c r="V131" s="70">
        <f>ASIC!D11</f>
        <v>2010</v>
      </c>
      <c r="W131" s="73">
        <f>IF(ASIC!H11=Data!W$122,ASIC!V11)</f>
        <v>0.34</v>
      </c>
      <c r="X131" s="73" t="b">
        <f>IF(ASIC!H11=Data!X$122,ASIC!V11)</f>
        <v>0</v>
      </c>
      <c r="Y131" s="73" t="b">
        <f>IF(ASIC!H11=Data!Y$122,ASIC!V11)</f>
        <v>0</v>
      </c>
      <c r="Z131" s="73" t="b">
        <f>IF(ASIC!H11=Data!Z$122,ASIC!V11)</f>
        <v>0</v>
      </c>
      <c r="AA131" s="73" t="b">
        <f>IF(ASIC!H11=Data!AA$122,ASIC!V11)</f>
        <v>0</v>
      </c>
    </row>
    <row r="132" spans="2:27" x14ac:dyDescent="0.3">
      <c r="B132" s="68">
        <f>ASIC!D12</f>
        <v>2011</v>
      </c>
      <c r="C132" s="66" t="b">
        <f>IF(ASIC!H12=$C$122,ASIC!V12)</f>
        <v>0</v>
      </c>
      <c r="D132" s="66" t="b">
        <f>IF(ASIC!H12=$D$122,ASIC!V12)</f>
        <v>0</v>
      </c>
      <c r="E132" s="66" t="str">
        <f>IF(ASIC!H12=$E$122,ASIC!V12)</f>
        <v>N/A</v>
      </c>
      <c r="F132" s="66" t="b">
        <f>IF(ASIC!H12=$F$122,ASIC!V12)</f>
        <v>0</v>
      </c>
      <c r="G132" s="66" t="b">
        <f>IF(ASIC!H12=$G$122,ASIC!V12)</f>
        <v>0</v>
      </c>
      <c r="J132"/>
      <c r="K132"/>
      <c r="L132" s="70">
        <v>2011</v>
      </c>
      <c r="M132" s="73"/>
      <c r="N132" s="73"/>
      <c r="O132" s="70"/>
      <c r="P132" s="70"/>
      <c r="Q132" s="70"/>
      <c r="R132" s="70">
        <v>2011</v>
      </c>
      <c r="S132" s="104"/>
      <c r="V132" s="70">
        <f>ASIC!D12</f>
        <v>2011</v>
      </c>
      <c r="W132" s="73" t="b">
        <f>IF(ASIC!H12=Data!W$122,ASIC!V12)</f>
        <v>0</v>
      </c>
      <c r="X132" s="73" t="b">
        <f>IF(ASIC!H12=Data!X$122,ASIC!V12)</f>
        <v>0</v>
      </c>
      <c r="Y132" s="73" t="str">
        <f>IF(ASIC!H12=Data!Y$122,ASIC!V12)</f>
        <v>N/A</v>
      </c>
      <c r="Z132" s="73" t="b">
        <f>IF(ASIC!H12=Data!Z$122,ASIC!V12)</f>
        <v>0</v>
      </c>
      <c r="AA132" s="73" t="b">
        <f>IF(ASIC!H12=Data!AA$122,ASIC!V12)</f>
        <v>0</v>
      </c>
    </row>
    <row r="133" spans="2:27" x14ac:dyDescent="0.3">
      <c r="B133" s="68">
        <f>ASIC!D13</f>
        <v>2011</v>
      </c>
      <c r="C133" s="66">
        <f>IF(ASIC!H13=$C$122,ASIC!V13)</f>
        <v>49.479166666666664</v>
      </c>
      <c r="D133" s="66" t="b">
        <f>IF(ASIC!H13=$D$122,ASIC!V13)</f>
        <v>0</v>
      </c>
      <c r="E133" s="66" t="b">
        <f>IF(ASIC!H13=$E$122,ASIC!V13)</f>
        <v>0</v>
      </c>
      <c r="F133" s="66" t="b">
        <f>IF(ASIC!H13=$F$122,ASIC!V13)</f>
        <v>0</v>
      </c>
      <c r="G133" s="66" t="b">
        <f>IF(ASIC!H13=$G$122,ASIC!V13)</f>
        <v>0</v>
      </c>
      <c r="J133"/>
      <c r="K133"/>
      <c r="L133" s="70">
        <v>2011</v>
      </c>
      <c r="M133" s="73">
        <v>49.479166666666664</v>
      </c>
      <c r="N133" s="73"/>
      <c r="O133" s="70"/>
      <c r="P133" s="70"/>
      <c r="Q133" s="70"/>
      <c r="R133" s="70">
        <v>2011</v>
      </c>
      <c r="S133" s="104">
        <f t="shared" si="2"/>
        <v>49.479166666666664</v>
      </c>
      <c r="V133" s="70">
        <f>ASIC!D13</f>
        <v>2011</v>
      </c>
      <c r="W133" s="73">
        <f>IF(ASIC!H13=Data!W$122,ASIC!V13)</f>
        <v>49.479166666666664</v>
      </c>
      <c r="X133" s="73" t="b">
        <f>IF(ASIC!H13=Data!X$122,ASIC!V13)</f>
        <v>0</v>
      </c>
      <c r="Y133" s="73" t="b">
        <f>IF(ASIC!H13=Data!Y$122,ASIC!V13)</f>
        <v>0</v>
      </c>
      <c r="Z133" s="73" t="b">
        <f>IF(ASIC!H13=Data!Z$122,ASIC!V13)</f>
        <v>0</v>
      </c>
      <c r="AA133" s="73" t="b">
        <f>IF(ASIC!H13=Data!AA$122,ASIC!V13)</f>
        <v>0</v>
      </c>
    </row>
    <row r="134" spans="2:27" x14ac:dyDescent="0.3">
      <c r="B134" s="68">
        <f>ASIC!D14</f>
        <v>2011</v>
      </c>
      <c r="C134" s="66" t="b">
        <f>IF(ASIC!H14=$C$122,ASIC!V14)</f>
        <v>0</v>
      </c>
      <c r="D134" s="66" t="b">
        <f>IF(ASIC!H14=$D$122,ASIC!V14)</f>
        <v>0</v>
      </c>
      <c r="E134" s="66" t="b">
        <f>IF(ASIC!H14=$E$122,ASIC!V14)</f>
        <v>0</v>
      </c>
      <c r="F134" s="66" t="str">
        <f>IF(ASIC!H14=$F$122,ASIC!V14)</f>
        <v>N/A</v>
      </c>
      <c r="G134" s="66" t="b">
        <f>IF(ASIC!H14=$G$122,ASIC!V14)</f>
        <v>0</v>
      </c>
      <c r="J134"/>
      <c r="K134"/>
      <c r="L134" s="70">
        <v>2011</v>
      </c>
      <c r="M134" s="73"/>
      <c r="N134" s="73"/>
      <c r="O134" s="70"/>
      <c r="P134" s="70"/>
      <c r="Q134" s="70"/>
      <c r="R134" s="70">
        <v>2011</v>
      </c>
      <c r="S134" s="104"/>
      <c r="V134" s="70">
        <f>ASIC!D14</f>
        <v>2011</v>
      </c>
      <c r="W134" s="73" t="b">
        <f>IF(ASIC!H14=Data!W$122,ASIC!V14)</f>
        <v>0</v>
      </c>
      <c r="X134" s="73" t="b">
        <f>IF(ASIC!H14=Data!X$122,ASIC!V14)</f>
        <v>0</v>
      </c>
      <c r="Y134" s="73" t="b">
        <f>IF(ASIC!H14=Data!Y$122,ASIC!V14)</f>
        <v>0</v>
      </c>
      <c r="Z134" s="73" t="str">
        <f>IF(ASIC!H14=Data!Z$122,ASIC!V14)</f>
        <v>N/A</v>
      </c>
      <c r="AA134" s="73" t="b">
        <f>IF(ASIC!H14=Data!AA$122,ASIC!V14)</f>
        <v>0</v>
      </c>
    </row>
    <row r="135" spans="2:27" x14ac:dyDescent="0.3">
      <c r="B135" s="68">
        <f>ASIC!D15</f>
        <v>2012</v>
      </c>
      <c r="C135" s="66" t="b">
        <f>IF(ASIC!H15=$C$122,ASIC!V15)</f>
        <v>0</v>
      </c>
      <c r="D135" s="66" t="b">
        <f>IF(ASIC!H15=$D$122,ASIC!V15)</f>
        <v>0</v>
      </c>
      <c r="E135" s="66" t="str">
        <f>IF(ASIC!H15=$E$122,ASIC!V15)</f>
        <v>NI</v>
      </c>
      <c r="F135" s="66" t="b">
        <f>IF(ASIC!H15=$F$122,ASIC!V15)</f>
        <v>0</v>
      </c>
      <c r="G135" s="66" t="b">
        <f>IF(ASIC!H15=$G$122,ASIC!V15)</f>
        <v>0</v>
      </c>
      <c r="J135"/>
      <c r="K135"/>
      <c r="L135" s="70">
        <v>2012</v>
      </c>
      <c r="M135" s="73"/>
      <c r="N135" s="73"/>
      <c r="O135" s="70"/>
      <c r="P135" s="70"/>
      <c r="Q135" s="70"/>
      <c r="R135" s="70">
        <v>2012</v>
      </c>
      <c r="S135" s="104"/>
      <c r="V135" s="70">
        <f>ASIC!D15</f>
        <v>2012</v>
      </c>
      <c r="W135" s="73" t="b">
        <f>IF(ASIC!H15=Data!W$122,ASIC!V15)</f>
        <v>0</v>
      </c>
      <c r="X135" s="73" t="b">
        <f>IF(ASIC!H15=Data!X$122,ASIC!V15)</f>
        <v>0</v>
      </c>
      <c r="Y135" s="73" t="str">
        <f>IF(ASIC!H15=Data!Y$122,ASIC!V15)</f>
        <v>NI</v>
      </c>
      <c r="Z135" s="73" t="b">
        <f>IF(ASIC!H15=Data!Z$122,ASIC!V15)</f>
        <v>0</v>
      </c>
      <c r="AA135" s="73" t="b">
        <f>IF(ASIC!H15=Data!AA$122,ASIC!V15)</f>
        <v>0</v>
      </c>
    </row>
    <row r="136" spans="2:27" x14ac:dyDescent="0.3">
      <c r="B136" s="68">
        <f>ASIC!D16</f>
        <v>2012</v>
      </c>
      <c r="C136" s="66" t="b">
        <f>IF(ASIC!H16=$C$122,ASIC!V16)</f>
        <v>0</v>
      </c>
      <c r="D136" s="66" t="b">
        <f>IF(ASIC!H16=$D$122,ASIC!V16)</f>
        <v>0</v>
      </c>
      <c r="E136" s="66" t="str">
        <f>IF(ASIC!H16=$E$122,ASIC!V16)</f>
        <v>N/A</v>
      </c>
      <c r="F136" s="66" t="b">
        <f>IF(ASIC!H16=$F$122,ASIC!V16)</f>
        <v>0</v>
      </c>
      <c r="G136" s="66" t="b">
        <f>IF(ASIC!H16=$G$122,ASIC!V16)</f>
        <v>0</v>
      </c>
      <c r="J136"/>
      <c r="K136"/>
      <c r="L136" s="70">
        <v>2012</v>
      </c>
      <c r="M136" s="73"/>
      <c r="N136" s="73"/>
      <c r="O136" s="70"/>
      <c r="P136" s="70"/>
      <c r="Q136" s="70"/>
      <c r="R136" s="70">
        <v>2012</v>
      </c>
      <c r="S136" s="104"/>
      <c r="V136" s="70">
        <f>ASIC!D16</f>
        <v>2012</v>
      </c>
      <c r="W136" s="73" t="b">
        <f>IF(ASIC!H16=Data!W$122,ASIC!V16)</f>
        <v>0</v>
      </c>
      <c r="X136" s="73" t="b">
        <f>IF(ASIC!H16=Data!X$122,ASIC!V16)</f>
        <v>0</v>
      </c>
      <c r="Y136" s="73" t="str">
        <f>IF(ASIC!H16=Data!Y$122,ASIC!V16)</f>
        <v>N/A</v>
      </c>
      <c r="Z136" s="73" t="b">
        <f>IF(ASIC!H16=Data!Z$122,ASIC!V16)</f>
        <v>0</v>
      </c>
      <c r="AA136" s="73" t="b">
        <f>IF(ASIC!H16=Data!AA$122,ASIC!V16)</f>
        <v>0</v>
      </c>
    </row>
    <row r="137" spans="2:27" x14ac:dyDescent="0.3">
      <c r="B137" s="68">
        <f>ASIC!D17</f>
        <v>2012</v>
      </c>
      <c r="C137" s="66" t="b">
        <f>IF(ASIC!H17=$C$122,ASIC!V17)</f>
        <v>0</v>
      </c>
      <c r="D137" s="66" t="str">
        <f>IF(ASIC!H17=$D$122,ASIC!V17)</f>
        <v>N/A</v>
      </c>
      <c r="E137" s="66" t="b">
        <f>IF(ASIC!H17=$E$122,ASIC!V17)</f>
        <v>0</v>
      </c>
      <c r="F137" s="66" t="b">
        <f>IF(ASIC!H17=$F$122,ASIC!V17)</f>
        <v>0</v>
      </c>
      <c r="G137" s="66" t="b">
        <f>IF(ASIC!H17=$G$122,ASIC!V17)</f>
        <v>0</v>
      </c>
      <c r="J137"/>
      <c r="K137"/>
      <c r="L137" s="70">
        <v>2012</v>
      </c>
      <c r="M137" s="73"/>
      <c r="N137" s="73"/>
      <c r="O137" s="70"/>
      <c r="P137" s="70"/>
      <c r="Q137" s="70"/>
      <c r="R137" s="70">
        <v>2012</v>
      </c>
      <c r="S137" s="104"/>
      <c r="V137" s="70">
        <f>ASIC!D17</f>
        <v>2012</v>
      </c>
      <c r="W137" s="73" t="b">
        <f>IF(ASIC!H17=Data!W$122,ASIC!V17)</f>
        <v>0</v>
      </c>
      <c r="X137" s="73" t="str">
        <f>IF(ASIC!H17=Data!X$122,ASIC!V17)</f>
        <v>N/A</v>
      </c>
      <c r="Y137" s="73" t="b">
        <f>IF(ASIC!H17=Data!Y$122,ASIC!V17)</f>
        <v>0</v>
      </c>
      <c r="Z137" s="73" t="b">
        <f>IF(ASIC!H17=Data!Z$122,ASIC!V17)</f>
        <v>0</v>
      </c>
      <c r="AA137" s="73" t="b">
        <f>IF(ASIC!H17=Data!AA$122,ASIC!V17)</f>
        <v>0</v>
      </c>
    </row>
    <row r="138" spans="2:27" x14ac:dyDescent="0.3">
      <c r="B138" s="68">
        <f>ASIC!D18</f>
        <v>2012</v>
      </c>
      <c r="C138" s="66" t="b">
        <f>IF(ASIC!H18=$C$122,ASIC!V18)</f>
        <v>0</v>
      </c>
      <c r="D138" s="66" t="b">
        <f>IF(ASIC!H18=$D$122,ASIC!V18)</f>
        <v>0</v>
      </c>
      <c r="E138" s="66" t="str">
        <f>IF(ASIC!H18=$E$122,ASIC!V18)</f>
        <v>N/A</v>
      </c>
      <c r="F138" s="66" t="b">
        <f>IF(ASIC!H18=$F$122,ASIC!V18)</f>
        <v>0</v>
      </c>
      <c r="G138" s="66" t="b">
        <f>IF(ASIC!H18=$G$122,ASIC!V18)</f>
        <v>0</v>
      </c>
      <c r="J138"/>
      <c r="K138"/>
      <c r="L138" s="70">
        <v>2012</v>
      </c>
      <c r="M138" s="73"/>
      <c r="N138" s="73"/>
      <c r="O138" s="70"/>
      <c r="P138" s="70"/>
      <c r="Q138" s="70"/>
      <c r="R138" s="70">
        <v>2012</v>
      </c>
      <c r="S138" s="104"/>
      <c r="V138" s="70">
        <f>ASIC!D18</f>
        <v>2012</v>
      </c>
      <c r="W138" s="73" t="b">
        <f>IF(ASIC!H18=Data!W$122,ASIC!V18)</f>
        <v>0</v>
      </c>
      <c r="X138" s="73" t="b">
        <f>IF(ASIC!H18=Data!X$122,ASIC!V18)</f>
        <v>0</v>
      </c>
      <c r="Y138" s="73" t="str">
        <f>IF(ASIC!H18=Data!Y$122,ASIC!V18)</f>
        <v>N/A</v>
      </c>
      <c r="Z138" s="73" t="b">
        <f>IF(ASIC!H18=Data!Z$122,ASIC!V18)</f>
        <v>0</v>
      </c>
      <c r="AA138" s="73" t="b">
        <f>IF(ASIC!H18=Data!AA$122,ASIC!V18)</f>
        <v>0</v>
      </c>
    </row>
    <row r="139" spans="2:27" x14ac:dyDescent="0.3">
      <c r="B139" s="68">
        <f>ASIC!D19</f>
        <v>2012</v>
      </c>
      <c r="C139" s="66" t="b">
        <f>IF(ASIC!H19=$C$122,ASIC!V19)</f>
        <v>0</v>
      </c>
      <c r="D139" s="66" t="b">
        <f>IF(ASIC!H19=$D$122,ASIC!V19)</f>
        <v>0</v>
      </c>
      <c r="E139" s="66" t="str">
        <f>IF(ASIC!H19=$E$122,ASIC!V19)</f>
        <v>N/A</v>
      </c>
      <c r="F139" s="66" t="b">
        <f>IF(ASIC!H19=$F$122,ASIC!V19)</f>
        <v>0</v>
      </c>
      <c r="G139" s="66" t="b">
        <f>IF(ASIC!H19=$G$122,ASIC!V19)</f>
        <v>0</v>
      </c>
      <c r="J139"/>
      <c r="K139"/>
      <c r="L139" s="70">
        <v>2012</v>
      </c>
      <c r="M139" s="73"/>
      <c r="N139" s="73"/>
      <c r="O139" s="70"/>
      <c r="P139" s="70"/>
      <c r="Q139" s="70"/>
      <c r="R139" s="70">
        <v>2012</v>
      </c>
      <c r="S139" s="104"/>
      <c r="V139" s="70">
        <f>ASIC!D19</f>
        <v>2012</v>
      </c>
      <c r="W139" s="73" t="b">
        <f>IF(ASIC!H19=Data!W$122,ASIC!V19)</f>
        <v>0</v>
      </c>
      <c r="X139" s="73" t="b">
        <f>IF(ASIC!H19=Data!X$122,ASIC!V19)</f>
        <v>0</v>
      </c>
      <c r="Y139" s="73" t="str">
        <f>IF(ASIC!H19=Data!Y$122,ASIC!V19)</f>
        <v>N/A</v>
      </c>
      <c r="Z139" s="73" t="b">
        <f>IF(ASIC!H19=Data!Z$122,ASIC!V19)</f>
        <v>0</v>
      </c>
      <c r="AA139" s="73" t="b">
        <f>IF(ASIC!H19=Data!AA$122,ASIC!V19)</f>
        <v>0</v>
      </c>
    </row>
    <row r="140" spans="2:27" x14ac:dyDescent="0.3">
      <c r="B140" s="68">
        <f>ASIC!D20</f>
        <v>2012</v>
      </c>
      <c r="C140" s="66" t="b">
        <f>IF(ASIC!H20=$C$122,ASIC!V20)</f>
        <v>0</v>
      </c>
      <c r="D140" s="66" t="b">
        <f>IF(ASIC!H20=$D$122,ASIC!V20)</f>
        <v>0</v>
      </c>
      <c r="E140" s="66" t="str">
        <f>IF(ASIC!H20=$E$122,ASIC!V20)</f>
        <v>N/A</v>
      </c>
      <c r="F140" s="66" t="b">
        <f>IF(ASIC!H20=$F$122,ASIC!V20)</f>
        <v>0</v>
      </c>
      <c r="G140" s="66" t="b">
        <f>IF(ASIC!H20=$G$122,ASIC!V20)</f>
        <v>0</v>
      </c>
      <c r="J140"/>
      <c r="K140"/>
      <c r="L140" s="70">
        <v>2012</v>
      </c>
      <c r="M140" s="73"/>
      <c r="N140" s="73"/>
      <c r="O140" s="70"/>
      <c r="P140" s="70"/>
      <c r="Q140" s="70"/>
      <c r="R140" s="70">
        <v>2012</v>
      </c>
      <c r="S140" s="104"/>
      <c r="V140" s="70">
        <f>ASIC!D20</f>
        <v>2012</v>
      </c>
      <c r="W140" s="73" t="b">
        <f>IF(ASIC!H20=Data!W$122,ASIC!V20)</f>
        <v>0</v>
      </c>
      <c r="X140" s="73" t="b">
        <f>IF(ASIC!H20=Data!X$122,ASIC!V20)</f>
        <v>0</v>
      </c>
      <c r="Y140" s="73" t="str">
        <f>IF(ASIC!H20=Data!Y$122,ASIC!V20)</f>
        <v>N/A</v>
      </c>
      <c r="Z140" s="73" t="b">
        <f>IF(ASIC!H20=Data!Z$122,ASIC!V20)</f>
        <v>0</v>
      </c>
      <c r="AA140" s="73" t="b">
        <f>IF(ASIC!H20=Data!AA$122,ASIC!V20)</f>
        <v>0</v>
      </c>
    </row>
    <row r="141" spans="2:27" x14ac:dyDescent="0.3">
      <c r="B141" s="68">
        <f>ASIC!D21</f>
        <v>2012</v>
      </c>
      <c r="C141" s="66" t="b">
        <f>IF(ASIC!H21=$C$122,ASIC!V21)</f>
        <v>0</v>
      </c>
      <c r="D141" s="66" t="str">
        <f>IF(ASIC!H21=$D$122,ASIC!V21)</f>
        <v>N/A</v>
      </c>
      <c r="E141" s="66" t="b">
        <f>IF(ASIC!H21=$E$122,ASIC!V21)</f>
        <v>0</v>
      </c>
      <c r="F141" s="66" t="b">
        <f>IF(ASIC!H21=$F$122,ASIC!V21)</f>
        <v>0</v>
      </c>
      <c r="G141" s="66" t="b">
        <f>IF(ASIC!H21=$G$122,ASIC!V21)</f>
        <v>0</v>
      </c>
      <c r="J141"/>
      <c r="K141"/>
      <c r="L141" s="70">
        <v>2012</v>
      </c>
      <c r="M141" s="73"/>
      <c r="N141" s="73"/>
      <c r="O141" s="70"/>
      <c r="P141" s="70"/>
      <c r="Q141" s="70"/>
      <c r="R141" s="70">
        <v>2012</v>
      </c>
      <c r="S141" s="104"/>
      <c r="V141" s="70">
        <f>ASIC!D21</f>
        <v>2012</v>
      </c>
      <c r="W141" s="73" t="b">
        <f>IF(ASIC!H21=Data!W$122,ASIC!V21)</f>
        <v>0</v>
      </c>
      <c r="X141" s="73" t="str">
        <f>IF(ASIC!H21=Data!X$122,ASIC!V21)</f>
        <v>N/A</v>
      </c>
      <c r="Y141" s="73" t="b">
        <f>IF(ASIC!H21=Data!Y$122,ASIC!V21)</f>
        <v>0</v>
      </c>
      <c r="Z141" s="73" t="b">
        <f>IF(ASIC!H21=Data!Z$122,ASIC!V21)</f>
        <v>0</v>
      </c>
      <c r="AA141" s="73" t="b">
        <f>IF(ASIC!H21=Data!AA$122,ASIC!V21)</f>
        <v>0</v>
      </c>
    </row>
    <row r="142" spans="2:27" x14ac:dyDescent="0.3">
      <c r="B142" s="68">
        <f>ASIC!D22</f>
        <v>2012</v>
      </c>
      <c r="C142" s="66" t="b">
        <f>IF(ASIC!H22=$C$122,ASIC!V22)</f>
        <v>0</v>
      </c>
      <c r="D142" s="66" t="b">
        <f>IF(ASIC!H22=$D$122,ASIC!V22)</f>
        <v>0</v>
      </c>
      <c r="E142" s="66" t="str">
        <f>IF(ASIC!H22=$E$122,ASIC!V22)</f>
        <v>NI</v>
      </c>
      <c r="F142" s="66" t="b">
        <f>IF(ASIC!H22=$F$122,ASIC!V22)</f>
        <v>0</v>
      </c>
      <c r="G142" s="66" t="b">
        <f>IF(ASIC!H22=$G$122,ASIC!V22)</f>
        <v>0</v>
      </c>
      <c r="J142"/>
      <c r="K142"/>
      <c r="L142" s="70">
        <v>2012</v>
      </c>
      <c r="M142" s="73"/>
      <c r="N142" s="73"/>
      <c r="O142" s="70"/>
      <c r="P142" s="70"/>
      <c r="Q142" s="70"/>
      <c r="R142" s="70">
        <v>2012</v>
      </c>
      <c r="S142" s="104"/>
      <c r="V142" s="70">
        <f>ASIC!D22</f>
        <v>2012</v>
      </c>
      <c r="W142" s="73" t="b">
        <f>IF(ASIC!H22=Data!W$122,ASIC!V22)</f>
        <v>0</v>
      </c>
      <c r="X142" s="73" t="b">
        <f>IF(ASIC!H22=Data!X$122,ASIC!V22)</f>
        <v>0</v>
      </c>
      <c r="Y142" s="73" t="str">
        <f>IF(ASIC!H22=Data!Y$122,ASIC!V22)</f>
        <v>NI</v>
      </c>
      <c r="Z142" s="73" t="b">
        <f>IF(ASIC!H22=Data!Z$122,ASIC!V22)</f>
        <v>0</v>
      </c>
      <c r="AA142" s="73" t="b">
        <f>IF(ASIC!H22=Data!AA$122,ASIC!V22)</f>
        <v>0</v>
      </c>
    </row>
    <row r="143" spans="2:27" x14ac:dyDescent="0.3">
      <c r="B143" s="68">
        <f>ASIC!D23</f>
        <v>2013</v>
      </c>
      <c r="C143" s="66" t="b">
        <f>IF(ASIC!H23=$C$122,ASIC!V23)</f>
        <v>0</v>
      </c>
      <c r="D143" s="66" t="b">
        <f>IF(ASIC!H23=$D$122,ASIC!V23)</f>
        <v>0</v>
      </c>
      <c r="E143" s="66" t="str">
        <f>IF(ASIC!H23=$E$122,ASIC!V23)</f>
        <v>NI</v>
      </c>
      <c r="F143" s="66" t="b">
        <f>IF(ASIC!H23=$F$122,ASIC!V23)</f>
        <v>0</v>
      </c>
      <c r="G143" s="66" t="b">
        <f>IF(ASIC!H23=$G$122,ASIC!V23)</f>
        <v>0</v>
      </c>
      <c r="J143"/>
      <c r="K143"/>
      <c r="L143" s="70">
        <v>2013</v>
      </c>
      <c r="M143" s="73"/>
      <c r="N143" s="73"/>
      <c r="O143" s="70"/>
      <c r="P143" s="70"/>
      <c r="Q143" s="70"/>
      <c r="R143" s="70">
        <v>2013</v>
      </c>
      <c r="S143" s="104"/>
      <c r="V143" s="70">
        <f>ASIC!D23</f>
        <v>2013</v>
      </c>
      <c r="W143" s="73" t="b">
        <f>IF(ASIC!H23=Data!W$122,ASIC!V23)</f>
        <v>0</v>
      </c>
      <c r="X143" s="73" t="b">
        <f>IF(ASIC!H23=Data!X$122,ASIC!V23)</f>
        <v>0</v>
      </c>
      <c r="Y143" s="73" t="str">
        <f>IF(ASIC!H23=Data!Y$122,ASIC!V23)</f>
        <v>NI</v>
      </c>
      <c r="Z143" s="73" t="b">
        <f>IF(ASIC!H23=Data!Z$122,ASIC!V23)</f>
        <v>0</v>
      </c>
      <c r="AA143" s="73" t="b">
        <f>IF(ASIC!H23=Data!AA$122,ASIC!V23)</f>
        <v>0</v>
      </c>
    </row>
    <row r="144" spans="2:27" x14ac:dyDescent="0.3">
      <c r="B144" s="68">
        <f>ASIC!D24</f>
        <v>2014</v>
      </c>
      <c r="C144" s="66" t="str">
        <f>IF(ASIC!H24=$C$122,ASIC!V24)</f>
        <v>NI</v>
      </c>
      <c r="D144" s="66" t="b">
        <f>IF(ASIC!H24=$D$122,ASIC!V24)</f>
        <v>0</v>
      </c>
      <c r="E144" s="66" t="b">
        <f>IF(ASIC!H24=$E$122,ASIC!V24)</f>
        <v>0</v>
      </c>
      <c r="F144" s="66" t="b">
        <f>IF(ASIC!H24=$F$122,ASIC!V24)</f>
        <v>0</v>
      </c>
      <c r="G144" s="66" t="b">
        <f>IF(ASIC!H24=$G$122,ASIC!V24)</f>
        <v>0</v>
      </c>
      <c r="J144"/>
      <c r="K144"/>
      <c r="L144" s="70">
        <v>2014</v>
      </c>
      <c r="M144" s="73"/>
      <c r="N144" s="73"/>
      <c r="O144" s="70"/>
      <c r="P144" s="70"/>
      <c r="Q144" s="70"/>
      <c r="R144" s="70">
        <v>2014</v>
      </c>
      <c r="S144" s="104"/>
      <c r="V144" s="70">
        <f>ASIC!D24</f>
        <v>2014</v>
      </c>
      <c r="W144" s="73" t="str">
        <f>IF(ASIC!H24=Data!W$122,ASIC!V24)</f>
        <v>NI</v>
      </c>
      <c r="X144" s="73" t="b">
        <f>IF(ASIC!H24=Data!X$122,ASIC!V24)</f>
        <v>0</v>
      </c>
      <c r="Y144" s="73" t="b">
        <f>IF(ASIC!H24=Data!Y$122,ASIC!V24)</f>
        <v>0</v>
      </c>
      <c r="Z144" s="73" t="b">
        <f>IF(ASIC!H24=Data!Z$122,ASIC!V24)</f>
        <v>0</v>
      </c>
      <c r="AA144" s="73" t="b">
        <f>IF(ASIC!H24=Data!AA$122,ASIC!V24)</f>
        <v>0</v>
      </c>
    </row>
    <row r="145" spans="2:27" x14ac:dyDescent="0.3">
      <c r="B145" s="68">
        <f>ASIC!D25</f>
        <v>2014</v>
      </c>
      <c r="C145" s="66" t="b">
        <f>IF(ASIC!H25=$C$122,ASIC!V25)</f>
        <v>0</v>
      </c>
      <c r="D145" s="66" t="b">
        <f>IF(ASIC!H25=$D$122,ASIC!V25)</f>
        <v>0</v>
      </c>
      <c r="E145" s="66" t="b">
        <f>IF(ASIC!H25=$E$122,ASIC!V25)</f>
        <v>0</v>
      </c>
      <c r="F145" s="66">
        <f>IF(ASIC!H25=$F$122,ASIC!V25)</f>
        <v>0.19</v>
      </c>
      <c r="G145" s="66" t="b">
        <f>IF(ASIC!H25=$G$122,ASIC!V25)</f>
        <v>0</v>
      </c>
      <c r="J145"/>
      <c r="K145"/>
      <c r="L145" s="70">
        <v>2014</v>
      </c>
      <c r="M145" s="73"/>
      <c r="N145" s="73"/>
      <c r="O145" s="70"/>
      <c r="P145" s="70">
        <v>0.19</v>
      </c>
      <c r="Q145" s="70"/>
      <c r="R145" s="70">
        <v>2014</v>
      </c>
      <c r="S145" s="104">
        <f t="shared" si="2"/>
        <v>0.19</v>
      </c>
      <c r="V145" s="70">
        <f>ASIC!D25</f>
        <v>2014</v>
      </c>
      <c r="W145" s="73" t="b">
        <f>IF(ASIC!H25=Data!W$122,ASIC!V25)</f>
        <v>0</v>
      </c>
      <c r="X145" s="73" t="b">
        <f>IF(ASIC!H25=Data!X$122,ASIC!V25)</f>
        <v>0</v>
      </c>
      <c r="Y145" s="73" t="b">
        <f>IF(ASIC!H25=Data!Y$122,ASIC!V25)</f>
        <v>0</v>
      </c>
      <c r="Z145" s="73">
        <f>IF(ASIC!H25=Data!Z$122,ASIC!V25)</f>
        <v>0.19</v>
      </c>
      <c r="AA145" s="73" t="b">
        <f>IF(ASIC!H25=Data!AA$122,ASIC!V25)</f>
        <v>0</v>
      </c>
    </row>
    <row r="146" spans="2:27" x14ac:dyDescent="0.3">
      <c r="B146" s="68">
        <f>ASIC!D26</f>
        <v>2014</v>
      </c>
      <c r="C146" s="66" t="b">
        <f>IF(ASIC!H26=$C$122,ASIC!V26)</f>
        <v>0</v>
      </c>
      <c r="D146" s="66" t="b">
        <f>IF(ASIC!H26=$D$122,ASIC!V26)</f>
        <v>0</v>
      </c>
      <c r="E146" s="66" t="b">
        <f>IF(ASIC!H26=$E$122,ASIC!V26)</f>
        <v>0</v>
      </c>
      <c r="F146" s="66">
        <f>IF(ASIC!H26=$F$122,ASIC!V26)</f>
        <v>1.2999999999999999E-2</v>
      </c>
      <c r="G146" s="66" t="b">
        <f>IF(ASIC!H26=$G$122,ASIC!V26)</f>
        <v>0</v>
      </c>
      <c r="J146"/>
      <c r="K146"/>
      <c r="L146" s="70">
        <v>2014</v>
      </c>
      <c r="M146" s="73"/>
      <c r="N146" s="73"/>
      <c r="O146" s="70"/>
      <c r="P146" s="70">
        <v>1.2999999999999999E-2</v>
      </c>
      <c r="Q146" s="70"/>
      <c r="R146" s="70">
        <v>2014</v>
      </c>
      <c r="S146" s="104">
        <f t="shared" si="2"/>
        <v>1.2999999999999999E-2</v>
      </c>
      <c r="V146" s="70">
        <f>ASIC!D26</f>
        <v>2014</v>
      </c>
      <c r="W146" s="73" t="b">
        <f>IF(ASIC!H26=Data!W$122,ASIC!V26)</f>
        <v>0</v>
      </c>
      <c r="X146" s="73" t="b">
        <f>IF(ASIC!H26=Data!X$122,ASIC!V26)</f>
        <v>0</v>
      </c>
      <c r="Y146" s="73" t="b">
        <f>IF(ASIC!H26=Data!Y$122,ASIC!V26)</f>
        <v>0</v>
      </c>
      <c r="Z146" s="73">
        <f>IF(ASIC!H26=Data!Z$122,ASIC!V26)</f>
        <v>1.2999999999999999E-2</v>
      </c>
      <c r="AA146" s="73" t="b">
        <f>IF(ASIC!H26=Data!AA$122,ASIC!V26)</f>
        <v>0</v>
      </c>
    </row>
    <row r="147" spans="2:27" x14ac:dyDescent="0.3">
      <c r="B147" s="68">
        <f>ASIC!D27</f>
        <v>2014</v>
      </c>
      <c r="C147" s="66" t="str">
        <f>IF(ASIC!H27=$C$122,ASIC!V27)</f>
        <v>N/A</v>
      </c>
      <c r="D147" s="66" t="b">
        <f>IF(ASIC!H27=$D$122,ASIC!V27)</f>
        <v>0</v>
      </c>
      <c r="E147" s="66" t="b">
        <f>IF(ASIC!H27=$E$122,ASIC!V27)</f>
        <v>0</v>
      </c>
      <c r="F147" s="66" t="b">
        <f>IF(ASIC!H27=$F$122,ASIC!V27)</f>
        <v>0</v>
      </c>
      <c r="G147" s="66" t="b">
        <f>IF(ASIC!H27=$G$122,ASIC!V27)</f>
        <v>0</v>
      </c>
      <c r="J147"/>
      <c r="K147"/>
      <c r="L147" s="70">
        <v>2014</v>
      </c>
      <c r="M147" s="73"/>
      <c r="N147" s="73"/>
      <c r="O147" s="70"/>
      <c r="P147" s="70"/>
      <c r="Q147" s="70"/>
      <c r="R147" s="70">
        <v>2014</v>
      </c>
      <c r="S147" s="104"/>
      <c r="V147" s="70">
        <f>ASIC!D27</f>
        <v>2014</v>
      </c>
      <c r="W147" s="73" t="str">
        <f>IF(ASIC!H27=Data!W$122,ASIC!V27)</f>
        <v>N/A</v>
      </c>
      <c r="X147" s="73" t="b">
        <f>IF(ASIC!H27=Data!X$122,ASIC!V27)</f>
        <v>0</v>
      </c>
      <c r="Y147" s="73" t="b">
        <f>IF(ASIC!H27=Data!Y$122,ASIC!V27)</f>
        <v>0</v>
      </c>
      <c r="Z147" s="73" t="b">
        <f>IF(ASIC!H27=Data!Z$122,ASIC!V27)</f>
        <v>0</v>
      </c>
      <c r="AA147" s="73" t="b">
        <f>IF(ASIC!H27=Data!AA$122,ASIC!V27)</f>
        <v>0</v>
      </c>
    </row>
    <row r="148" spans="2:27" x14ac:dyDescent="0.3">
      <c r="B148" s="68">
        <f>ASIC!D28</f>
        <v>2015</v>
      </c>
      <c r="C148" s="66" t="b">
        <f>IF(ASIC!H28=$C$122,ASIC!V28)</f>
        <v>0</v>
      </c>
      <c r="D148" s="66" t="b">
        <f>IF(ASIC!H28=$D$122,ASIC!V28)</f>
        <v>0</v>
      </c>
      <c r="E148" s="66" t="b">
        <f>IF(ASIC!H28=$E$122,ASIC!V28)</f>
        <v>0</v>
      </c>
      <c r="F148" s="66" t="b">
        <f>IF(ASIC!H28=$F$122,ASIC!V28)</f>
        <v>0</v>
      </c>
      <c r="G148" s="66">
        <f>IF(ASIC!H28=$G$122,ASIC!V28)</f>
        <v>1.4999999999999999E-2</v>
      </c>
      <c r="J148"/>
      <c r="K148"/>
      <c r="L148" s="70">
        <v>2015</v>
      </c>
      <c r="M148" s="73"/>
      <c r="N148" s="73"/>
      <c r="O148" s="70"/>
      <c r="P148" s="70"/>
      <c r="Q148" s="70">
        <v>1.4999999999999999E-2</v>
      </c>
      <c r="R148" s="70">
        <v>2015</v>
      </c>
      <c r="S148" s="104">
        <f t="shared" si="2"/>
        <v>1.4999999999999999E-2</v>
      </c>
      <c r="V148" s="70">
        <f>ASIC!D28</f>
        <v>2015</v>
      </c>
      <c r="W148" s="73" t="b">
        <f>IF(ASIC!H28=Data!W$122,ASIC!V28)</f>
        <v>0</v>
      </c>
      <c r="X148" s="73" t="b">
        <f>IF(ASIC!H28=Data!X$122,ASIC!V28)</f>
        <v>0</v>
      </c>
      <c r="Y148" s="73" t="b">
        <f>IF(ASIC!H28=Data!Y$122,ASIC!V28)</f>
        <v>0</v>
      </c>
      <c r="Z148" s="73" t="b">
        <f>IF(ASIC!H28=Data!Z$122,ASIC!V28)</f>
        <v>0</v>
      </c>
      <c r="AA148" s="73">
        <f>IF(ASIC!H28=Data!AA$122,ASIC!V28)</f>
        <v>1.4999999999999999E-2</v>
      </c>
    </row>
    <row r="149" spans="2:27" x14ac:dyDescent="0.3">
      <c r="B149" s="68">
        <f>ASIC!D29</f>
        <v>2015</v>
      </c>
      <c r="C149" s="66">
        <f>IF(ASIC!H29=$C$122,ASIC!V29)</f>
        <v>1.1000000000000001</v>
      </c>
      <c r="D149" s="66" t="b">
        <f>IF(ASIC!H29=$D$122,ASIC!V29)</f>
        <v>0</v>
      </c>
      <c r="E149" s="66" t="b">
        <f>IF(ASIC!H29=$E$122,ASIC!V29)</f>
        <v>0</v>
      </c>
      <c r="F149" s="66" t="b">
        <f>IF(ASIC!H29=$F$122,ASIC!V29)</f>
        <v>0</v>
      </c>
      <c r="G149" s="66" t="b">
        <f>IF(ASIC!H29=$G$122,ASIC!V29)</f>
        <v>0</v>
      </c>
      <c r="J149"/>
      <c r="K149"/>
      <c r="L149" s="70">
        <v>2015</v>
      </c>
      <c r="M149" s="73">
        <v>1.1000000000000001</v>
      </c>
      <c r="N149" s="73"/>
      <c r="O149" s="70"/>
      <c r="P149" s="70"/>
      <c r="Q149" s="70"/>
      <c r="R149" s="70">
        <v>2015</v>
      </c>
      <c r="S149" s="104">
        <f t="shared" si="2"/>
        <v>1.1000000000000001</v>
      </c>
      <c r="V149" s="70">
        <f>ASIC!D29</f>
        <v>2015</v>
      </c>
      <c r="W149" s="73">
        <f>IF(ASIC!H29=Data!W$122,ASIC!V29)</f>
        <v>1.1000000000000001</v>
      </c>
      <c r="X149" s="73" t="b">
        <f>IF(ASIC!H29=Data!X$122,ASIC!V29)</f>
        <v>0</v>
      </c>
      <c r="Y149" s="73" t="b">
        <f>IF(ASIC!H29=Data!Y$122,ASIC!V29)</f>
        <v>0</v>
      </c>
      <c r="Z149" s="73" t="b">
        <f>IF(ASIC!H29=Data!Z$122,ASIC!V29)</f>
        <v>0</v>
      </c>
      <c r="AA149" s="73" t="b">
        <f>IF(ASIC!H29=Data!AA$122,ASIC!V29)</f>
        <v>0</v>
      </c>
    </row>
    <row r="150" spans="2:27" x14ac:dyDescent="0.3">
      <c r="B150" s="68">
        <f>ASIC!D30</f>
        <v>2015</v>
      </c>
      <c r="C150" s="66" t="str">
        <f>IF(ASIC!H30=$C$122,ASIC!V30)</f>
        <v>NI</v>
      </c>
      <c r="D150" s="66" t="b">
        <f>IF(ASIC!H30=$D$122,ASIC!V30)</f>
        <v>0</v>
      </c>
      <c r="E150" s="66" t="b">
        <f>IF(ASIC!H30=$E$122,ASIC!V30)</f>
        <v>0</v>
      </c>
      <c r="F150" s="66" t="b">
        <f>IF(ASIC!H30=$F$122,ASIC!V30)</f>
        <v>0</v>
      </c>
      <c r="G150" s="66" t="b">
        <f>IF(ASIC!H30=$G$122,ASIC!V30)</f>
        <v>0</v>
      </c>
      <c r="J150"/>
      <c r="K150"/>
      <c r="L150" s="70">
        <v>2015</v>
      </c>
      <c r="M150" s="73"/>
      <c r="N150" s="73"/>
      <c r="O150" s="70"/>
      <c r="P150" s="70"/>
      <c r="Q150" s="70"/>
      <c r="R150" s="70">
        <v>2015</v>
      </c>
      <c r="S150" s="104"/>
      <c r="V150" s="70">
        <f>ASIC!D30</f>
        <v>2015</v>
      </c>
      <c r="W150" s="73" t="str">
        <f>IF(ASIC!H30=Data!W$122,ASIC!V30)</f>
        <v>NI</v>
      </c>
      <c r="X150" s="73" t="b">
        <f>IF(ASIC!H30=Data!X$122,ASIC!V30)</f>
        <v>0</v>
      </c>
      <c r="Y150" s="73" t="b">
        <f>IF(ASIC!H30=Data!Y$122,ASIC!V30)</f>
        <v>0</v>
      </c>
      <c r="Z150" s="73" t="b">
        <f>IF(ASIC!H30=Data!Z$122,ASIC!V30)</f>
        <v>0</v>
      </c>
      <c r="AA150" s="73" t="b">
        <f>IF(ASIC!H30=Data!AA$122,ASIC!V30)</f>
        <v>0</v>
      </c>
    </row>
    <row r="151" spans="2:27" x14ac:dyDescent="0.3">
      <c r="B151" s="68">
        <f>ASIC!D31</f>
        <v>2015</v>
      </c>
      <c r="C151" s="66" t="b">
        <f>IF(ASIC!H31=$C$122,ASIC!V31)</f>
        <v>0</v>
      </c>
      <c r="D151" s="66">
        <f>IF(ASIC!H31=$D$122,ASIC!V31)</f>
        <v>17.75</v>
      </c>
      <c r="E151" s="66" t="b">
        <f>IF(ASIC!H31=$E$122,ASIC!V31)</f>
        <v>0</v>
      </c>
      <c r="F151" s="66" t="b">
        <f>IF(ASIC!H31=$F$122,ASIC!V31)</f>
        <v>0</v>
      </c>
      <c r="G151" s="66" t="b">
        <f>IF(ASIC!H31=$G$122,ASIC!V31)</f>
        <v>0</v>
      </c>
      <c r="J151"/>
      <c r="K151"/>
      <c r="L151" s="70">
        <v>2015</v>
      </c>
      <c r="M151" s="73"/>
      <c r="N151" s="73">
        <v>17.75</v>
      </c>
      <c r="O151" s="70"/>
      <c r="P151" s="70"/>
      <c r="Q151" s="70"/>
      <c r="R151" s="70">
        <v>2015</v>
      </c>
      <c r="S151" s="104">
        <f t="shared" si="2"/>
        <v>17.75</v>
      </c>
      <c r="V151" s="70">
        <f>ASIC!D31</f>
        <v>2015</v>
      </c>
      <c r="W151" s="73" t="b">
        <f>IF(ASIC!H31=Data!W$122,ASIC!V31)</f>
        <v>0</v>
      </c>
      <c r="X151" s="73">
        <f>IF(ASIC!H31=Data!X$122,ASIC!V31)</f>
        <v>17.75</v>
      </c>
      <c r="Y151" s="73" t="b">
        <f>IF(ASIC!H31=Data!Y$122,ASIC!V31)</f>
        <v>0</v>
      </c>
      <c r="Z151" s="73" t="b">
        <f>IF(ASIC!H31=Data!Z$122,ASIC!V31)</f>
        <v>0</v>
      </c>
      <c r="AA151" s="73" t="b">
        <f>IF(ASIC!H31=Data!AA$122,ASIC!V31)</f>
        <v>0</v>
      </c>
    </row>
    <row r="152" spans="2:27" x14ac:dyDescent="0.3">
      <c r="B152" s="68">
        <f>ASIC!D32</f>
        <v>2016</v>
      </c>
      <c r="C152" s="66" t="str">
        <f>IF(ASIC!H32=$C$122,ASIC!V32)</f>
        <v>N/A</v>
      </c>
      <c r="D152" s="66" t="b">
        <f>IF(ASIC!H32=$D$122,ASIC!V32)</f>
        <v>0</v>
      </c>
      <c r="E152" s="66" t="b">
        <f>IF(ASIC!H32=$E$122,ASIC!V32)</f>
        <v>0</v>
      </c>
      <c r="F152" s="66" t="b">
        <f>IF(ASIC!H32=$F$122,ASIC!V32)</f>
        <v>0</v>
      </c>
      <c r="G152" s="66" t="b">
        <f>IF(ASIC!H32=$G$122,ASIC!V32)</f>
        <v>0</v>
      </c>
      <c r="K152"/>
      <c r="L152" s="70">
        <v>2016</v>
      </c>
      <c r="M152" s="70"/>
      <c r="N152" s="70"/>
      <c r="O152" s="70"/>
      <c r="P152" s="70"/>
      <c r="Q152" s="70"/>
      <c r="R152" s="70">
        <v>2016</v>
      </c>
      <c r="S152" s="104"/>
      <c r="V152" s="70">
        <f>ASIC!D32</f>
        <v>2016</v>
      </c>
      <c r="W152" s="73" t="str">
        <f>IF(ASIC!H32=Data!W$122,ASIC!V32)</f>
        <v>N/A</v>
      </c>
      <c r="X152" s="73" t="b">
        <f>IF(ASIC!H32=Data!X$122,ASIC!V32)</f>
        <v>0</v>
      </c>
      <c r="Y152" s="73" t="b">
        <f>IF(ASIC!H32=Data!Y$122,ASIC!V32)</f>
        <v>0</v>
      </c>
      <c r="Z152" s="73" t="b">
        <f>IF(ASIC!H32=Data!Z$122,ASIC!V32)</f>
        <v>0</v>
      </c>
      <c r="AA152" s="73" t="b">
        <f>IF(ASIC!H32=Data!AA$122,ASIC!V32)</f>
        <v>0</v>
      </c>
    </row>
    <row r="153" spans="2:27" x14ac:dyDescent="0.3">
      <c r="B153" s="68">
        <f>ASIC!D33</f>
        <v>2016</v>
      </c>
      <c r="C153" s="66" t="b">
        <f>IF(ASIC!H33=$C$122,ASIC!V33)</f>
        <v>0</v>
      </c>
      <c r="D153" s="66" t="b">
        <f>IF(ASIC!H33=$D$122,ASIC!V33)</f>
        <v>0</v>
      </c>
      <c r="E153" s="66" t="b">
        <f>IF(ASIC!H33=$E$122,ASIC!V33)</f>
        <v>0</v>
      </c>
      <c r="F153" s="66" t="b">
        <f>IF(ASIC!H33=$F$122,ASIC!V33)</f>
        <v>0</v>
      </c>
      <c r="G153" s="66">
        <f>IF(ASIC!H33=$G$122,ASIC!V33)</f>
        <v>1.4999999999999999E-2</v>
      </c>
      <c r="K153"/>
      <c r="L153" s="70">
        <v>2016</v>
      </c>
      <c r="M153" s="70"/>
      <c r="N153" s="70"/>
      <c r="O153" s="70"/>
      <c r="P153" s="70"/>
      <c r="Q153" s="70"/>
      <c r="R153" s="70">
        <v>2016</v>
      </c>
      <c r="S153" s="104"/>
      <c r="V153" s="70">
        <f>ASIC!D33</f>
        <v>2016</v>
      </c>
      <c r="W153" s="73" t="b">
        <f>IF(ASIC!H33=Data!W$122,ASIC!V33)</f>
        <v>0</v>
      </c>
      <c r="X153" s="73" t="b">
        <f>IF(ASIC!H33=Data!X$122,ASIC!V33)</f>
        <v>0</v>
      </c>
      <c r="Y153" s="73" t="b">
        <f>IF(ASIC!H33=Data!Y$122,ASIC!V33)</f>
        <v>0</v>
      </c>
      <c r="Z153" s="73" t="b">
        <f>IF(ASIC!H33=Data!Z$122,ASIC!V33)</f>
        <v>0</v>
      </c>
      <c r="AA153" s="73">
        <f>IF(ASIC!H33=Data!AA$122,ASIC!V33)</f>
        <v>1.4999999999999999E-2</v>
      </c>
    </row>
    <row r="154" spans="2:27" x14ac:dyDescent="0.3">
      <c r="B154" s="68">
        <f>ASIC!D34</f>
        <v>2016</v>
      </c>
      <c r="C154" s="66" t="b">
        <f>IF(ASIC!H34=$C$122,ASIC!V34)</f>
        <v>0</v>
      </c>
      <c r="D154" s="66" t="b">
        <f>IF(ASIC!H34=$D$122,ASIC!V34)</f>
        <v>0</v>
      </c>
      <c r="E154" s="66">
        <f>IF(ASIC!H34=$E$122,ASIC!V34)</f>
        <v>1.1000000000000001</v>
      </c>
      <c r="F154" s="66" t="b">
        <f>IF(ASIC!H34=$F$122,ASIC!V34)</f>
        <v>0</v>
      </c>
      <c r="G154" s="66" t="b">
        <f>IF(ASIC!H34=$G$122,ASIC!V34)</f>
        <v>0</v>
      </c>
      <c r="K154"/>
      <c r="L154" s="70">
        <v>2016</v>
      </c>
      <c r="M154" s="70"/>
      <c r="N154" s="70"/>
      <c r="O154" s="70">
        <v>1.1000000000000001</v>
      </c>
      <c r="P154" s="70"/>
      <c r="Q154" s="70"/>
      <c r="R154" s="70">
        <v>2016</v>
      </c>
      <c r="S154" s="104">
        <f t="shared" si="2"/>
        <v>1.1000000000000001</v>
      </c>
      <c r="V154" s="70">
        <f>ASIC!D34</f>
        <v>2016</v>
      </c>
      <c r="W154" s="73" t="b">
        <f>IF(ASIC!H34=Data!W$122,ASIC!V34)</f>
        <v>0</v>
      </c>
      <c r="X154" s="73" t="b">
        <f>IF(ASIC!H34=Data!X$122,ASIC!V34)</f>
        <v>0</v>
      </c>
      <c r="Y154" s="73">
        <f>IF(ASIC!H34=Data!Y$122,ASIC!V34)</f>
        <v>1.1000000000000001</v>
      </c>
      <c r="Z154" s="73" t="b">
        <f>IF(ASIC!H34=Data!Z$122,ASIC!V34)</f>
        <v>0</v>
      </c>
      <c r="AA154" s="73" t="b">
        <f>IF(ASIC!H34=Data!AA$122,ASIC!V34)</f>
        <v>0</v>
      </c>
    </row>
    <row r="155" spans="2:27" x14ac:dyDescent="0.3">
      <c r="B155" s="68">
        <f>ASIC!D35</f>
        <v>2016</v>
      </c>
      <c r="C155" s="66" t="b">
        <f>IF(ASIC!H35=$C$122,ASIC!V35)</f>
        <v>0</v>
      </c>
      <c r="D155" s="66">
        <f>IF(ASIC!H35=$D$122,ASIC!V35)</f>
        <v>0.47499999999999998</v>
      </c>
      <c r="E155" s="66" t="b">
        <f>IF(ASIC!H35=$E$122,ASIC!V35)</f>
        <v>0</v>
      </c>
      <c r="F155" s="66" t="b">
        <f>IF(ASIC!H35=$F$122,ASIC!V35)</f>
        <v>0</v>
      </c>
      <c r="G155" s="66" t="b">
        <f>IF(ASIC!H35=$G$122,ASIC!V35)</f>
        <v>0</v>
      </c>
      <c r="K155"/>
      <c r="L155" s="70">
        <v>2016</v>
      </c>
      <c r="M155" s="70"/>
      <c r="N155" s="70">
        <v>0.47499999999999998</v>
      </c>
      <c r="O155" s="70"/>
      <c r="P155" s="70"/>
      <c r="Q155" s="70"/>
      <c r="R155" s="70">
        <v>2016</v>
      </c>
      <c r="S155" s="104">
        <f t="shared" si="2"/>
        <v>0.47499999999999998</v>
      </c>
      <c r="V155" s="70">
        <f>ASIC!D35</f>
        <v>2016</v>
      </c>
      <c r="W155" s="73" t="b">
        <f>IF(ASIC!H35=Data!W$122,ASIC!V35)</f>
        <v>0</v>
      </c>
      <c r="X155" s="73">
        <f>IF(ASIC!H35=Data!X$122,ASIC!V35)</f>
        <v>0.47499999999999998</v>
      </c>
      <c r="Y155" s="73" t="b">
        <f>IF(ASIC!H35=Data!Y$122,ASIC!V35)</f>
        <v>0</v>
      </c>
      <c r="Z155" s="73" t="b">
        <f>IF(ASIC!H35=Data!Z$122,ASIC!V35)</f>
        <v>0</v>
      </c>
      <c r="AA155" s="73" t="b">
        <f>IF(ASIC!H35=Data!AA$122,ASIC!V35)</f>
        <v>0</v>
      </c>
    </row>
    <row r="156" spans="2:27" x14ac:dyDescent="0.3">
      <c r="B156" s="68">
        <f>ASIC!D36</f>
        <v>2016</v>
      </c>
      <c r="C156" s="66">
        <f>IF(ASIC!H36=$C$122,ASIC!V36)</f>
        <v>6.02</v>
      </c>
      <c r="D156" s="66" t="b">
        <f>IF(ASIC!H36=$D$122,ASIC!V36)</f>
        <v>0</v>
      </c>
      <c r="E156" s="66" t="b">
        <f>IF(ASIC!H36=$E$122,ASIC!V36)</f>
        <v>0</v>
      </c>
      <c r="F156" s="66" t="b">
        <f>IF(ASIC!H36=$F$122,ASIC!V36)</f>
        <v>0</v>
      </c>
      <c r="G156" s="66" t="b">
        <f>IF(ASIC!H36=$G$122,ASIC!V36)</f>
        <v>0</v>
      </c>
      <c r="K156"/>
      <c r="L156" s="70">
        <v>2016</v>
      </c>
      <c r="M156" s="70">
        <v>6.02</v>
      </c>
      <c r="N156" s="70"/>
      <c r="O156" s="70"/>
      <c r="P156" s="70"/>
      <c r="Q156" s="70"/>
      <c r="R156" s="70">
        <v>2016</v>
      </c>
      <c r="S156" s="104">
        <f t="shared" si="2"/>
        <v>6.02</v>
      </c>
      <c r="V156" s="70">
        <f>ASIC!D36</f>
        <v>2016</v>
      </c>
      <c r="W156" s="73">
        <f>IF(ASIC!H36=Data!W$122,ASIC!V36)</f>
        <v>6.02</v>
      </c>
      <c r="X156" s="73" t="b">
        <f>IF(ASIC!H36=Data!X$122,ASIC!V36)</f>
        <v>0</v>
      </c>
      <c r="Y156" s="73" t="b">
        <f>IF(ASIC!H36=Data!Y$122,ASIC!V36)</f>
        <v>0</v>
      </c>
      <c r="Z156" s="73" t="b">
        <f>IF(ASIC!H36=Data!Z$122,ASIC!V36)</f>
        <v>0</v>
      </c>
      <c r="AA156" s="73" t="b">
        <f>IF(ASIC!H36=Data!AA$122,ASIC!V36)</f>
        <v>0</v>
      </c>
    </row>
    <row r="157" spans="2:27" x14ac:dyDescent="0.3">
      <c r="B157" s="68">
        <f>ASIC!D37</f>
        <v>2016</v>
      </c>
      <c r="C157" s="66" t="b">
        <f>IF(ASIC!H37=$C$122,ASIC!V37)</f>
        <v>0</v>
      </c>
      <c r="D157" s="66" t="b">
        <f>IF(ASIC!H37=$D$122,ASIC!V37)</f>
        <v>0</v>
      </c>
      <c r="E157" s="66" t="b">
        <f>IF(ASIC!H37=$E$122,ASIC!V37)</f>
        <v>0</v>
      </c>
      <c r="F157" s="66">
        <f>IF(ASIC!H37=$F$122,ASIC!V37)</f>
        <v>4.0000000000000001E-3</v>
      </c>
      <c r="G157" s="66" t="b">
        <f>IF(ASIC!H37=$G$122,ASIC!V37)</f>
        <v>0</v>
      </c>
      <c r="K157"/>
      <c r="L157" s="70">
        <v>2016</v>
      </c>
      <c r="M157" s="70"/>
      <c r="N157" s="70"/>
      <c r="O157" s="70"/>
      <c r="P157" s="70">
        <v>4.0000000000000001E-3</v>
      </c>
      <c r="Q157" s="70"/>
      <c r="R157" s="70">
        <v>2016</v>
      </c>
      <c r="S157" s="104">
        <f t="shared" si="2"/>
        <v>4.0000000000000001E-3</v>
      </c>
      <c r="V157" s="70">
        <f>ASIC!D37</f>
        <v>2016</v>
      </c>
      <c r="W157" s="73" t="b">
        <f>IF(ASIC!H37=Data!W$122,ASIC!V37)</f>
        <v>0</v>
      </c>
      <c r="X157" s="73" t="b">
        <f>IF(ASIC!H37=Data!X$122,ASIC!V37)</f>
        <v>0</v>
      </c>
      <c r="Y157" s="73" t="b">
        <f>IF(ASIC!H37=Data!Y$122,ASIC!V37)</f>
        <v>0</v>
      </c>
      <c r="Z157" s="73">
        <f>IF(ASIC!H37=Data!Z$122,ASIC!V37)</f>
        <v>4.0000000000000001E-3</v>
      </c>
      <c r="AA157" s="73" t="b">
        <f>IF(ASIC!H37=Data!AA$122,ASIC!V37)</f>
        <v>0</v>
      </c>
    </row>
    <row r="158" spans="2:27" x14ac:dyDescent="0.3">
      <c r="B158" s="68">
        <f>ASIC!D38</f>
        <v>2016</v>
      </c>
      <c r="C158" s="66" t="b">
        <f>IF(ASIC!H38=$C$122,ASIC!V38)</f>
        <v>0</v>
      </c>
      <c r="D158" s="66" t="b">
        <f>IF(ASIC!H38=$D$122,ASIC!V38)</f>
        <v>0</v>
      </c>
      <c r="E158" s="66" t="b">
        <f>IF(ASIC!H38=$E$122,ASIC!V38)</f>
        <v>0</v>
      </c>
      <c r="F158" s="66" t="b">
        <f>IF(ASIC!H38=$F$122,ASIC!V38)</f>
        <v>0</v>
      </c>
      <c r="G158" s="66" t="b">
        <f>IF(ASIC!H38=$G$122,ASIC!V38)</f>
        <v>0</v>
      </c>
      <c r="K158"/>
      <c r="L158" s="70">
        <v>2016</v>
      </c>
      <c r="M158" s="70"/>
      <c r="N158" s="70"/>
      <c r="O158" s="70"/>
      <c r="P158" s="70"/>
      <c r="Q158" s="70"/>
      <c r="R158" s="70">
        <v>2016</v>
      </c>
      <c r="S158" s="104"/>
      <c r="V158" s="70">
        <f>ASIC!D38</f>
        <v>2016</v>
      </c>
      <c r="W158" s="73" t="b">
        <f>IF(ASIC!H38=Data!W$122,ASIC!V38)</f>
        <v>0</v>
      </c>
      <c r="X158" s="73" t="b">
        <f>IF(ASIC!H38=Data!X$122,ASIC!V38)</f>
        <v>0</v>
      </c>
      <c r="Y158" s="73" t="b">
        <f>IF(ASIC!H38=Data!Y$122,ASIC!V38)</f>
        <v>0</v>
      </c>
      <c r="Z158" s="73" t="b">
        <f>IF(ASIC!H38=Data!Z$122,ASIC!V38)</f>
        <v>0</v>
      </c>
      <c r="AA158" s="73" t="b">
        <f>IF(ASIC!H38=Data!AA$122,ASIC!V38)</f>
        <v>0</v>
      </c>
    </row>
    <row r="159" spans="2:27" x14ac:dyDescent="0.3">
      <c r="B159" s="68">
        <f>ASIC!D39</f>
        <v>2017</v>
      </c>
      <c r="C159" s="66" t="b">
        <f>IF(ASIC!H39=$C$122,ASIC!V39)</f>
        <v>0</v>
      </c>
      <c r="D159" s="66" t="b">
        <f>IF(ASIC!H39=$D$122,ASIC!V39)</f>
        <v>0</v>
      </c>
      <c r="E159" s="66" t="b">
        <f>IF(ASIC!H39=$E$122,ASIC!V39)</f>
        <v>0</v>
      </c>
      <c r="F159" s="66" t="b">
        <f>IF(ASIC!H39=$F$122,ASIC!V39)</f>
        <v>0</v>
      </c>
      <c r="G159" s="66">
        <f>IF(ASIC!H39=$G$122,ASIC!V39)</f>
        <v>1.4E-2</v>
      </c>
      <c r="K159"/>
      <c r="L159" s="70">
        <v>2017</v>
      </c>
      <c r="M159" s="70"/>
      <c r="N159" s="70"/>
      <c r="O159" s="70"/>
      <c r="P159" s="70"/>
      <c r="Q159" s="70">
        <v>1.4E-2</v>
      </c>
      <c r="R159" s="70">
        <v>2017</v>
      </c>
      <c r="S159" s="104">
        <f t="shared" si="2"/>
        <v>1.4E-2</v>
      </c>
      <c r="V159" s="70">
        <f>ASIC!D39</f>
        <v>2017</v>
      </c>
      <c r="W159" s="73" t="b">
        <f>IF(ASIC!H39=Data!W$122,ASIC!V39)</f>
        <v>0</v>
      </c>
      <c r="X159" s="73" t="b">
        <f>IF(ASIC!H39=Data!X$122,ASIC!V39)</f>
        <v>0</v>
      </c>
      <c r="Y159" s="73" t="b">
        <f>IF(ASIC!H39=Data!Y$122,ASIC!V39)</f>
        <v>0</v>
      </c>
      <c r="Z159" s="73" t="b">
        <f>IF(ASIC!H39=Data!Z$122,ASIC!V39)</f>
        <v>0</v>
      </c>
      <c r="AA159" s="73">
        <f>IF(ASIC!H39=Data!AA$122,ASIC!V39)</f>
        <v>1.4E-2</v>
      </c>
    </row>
    <row r="160" spans="2:27" x14ac:dyDescent="0.3">
      <c r="B160" s="68">
        <f>ASIC!D40</f>
        <v>2017</v>
      </c>
      <c r="C160" s="66" t="b">
        <f>IF(ASIC!H40=$C$122,ASIC!V40)</f>
        <v>0</v>
      </c>
      <c r="D160" s="66" t="b">
        <f>IF(ASIC!H40=$D$122,ASIC!V40)</f>
        <v>0</v>
      </c>
      <c r="E160" s="66" t="b">
        <f>IF(ASIC!H40=$E$122,ASIC!V40)</f>
        <v>0</v>
      </c>
      <c r="F160" s="66" t="b">
        <f>IF(ASIC!H40=$F$122,ASIC!V40)</f>
        <v>0</v>
      </c>
      <c r="G160" s="66">
        <f>IF(ASIC!H40=$G$122,ASIC!V40)</f>
        <v>1.0999999999999999E-2</v>
      </c>
      <c r="K160"/>
      <c r="L160" s="70">
        <v>2017</v>
      </c>
      <c r="M160" s="70"/>
      <c r="N160" s="70"/>
      <c r="O160" s="70"/>
      <c r="P160" s="70"/>
      <c r="Q160" s="70">
        <v>1.0999999999999999E-2</v>
      </c>
      <c r="R160" s="70">
        <v>2017</v>
      </c>
      <c r="S160" s="104">
        <f t="shared" si="2"/>
        <v>1.0999999999999999E-2</v>
      </c>
      <c r="V160" s="70">
        <f>ASIC!D40</f>
        <v>2017</v>
      </c>
      <c r="W160" s="73" t="b">
        <f>IF(ASIC!H40=Data!W$122,ASIC!V40)</f>
        <v>0</v>
      </c>
      <c r="X160" s="73" t="b">
        <f>IF(ASIC!H40=Data!X$122,ASIC!V40)</f>
        <v>0</v>
      </c>
      <c r="Y160" s="73" t="b">
        <f>IF(ASIC!H40=Data!Y$122,ASIC!V40)</f>
        <v>0</v>
      </c>
      <c r="Z160" s="73" t="b">
        <f>IF(ASIC!H40=Data!Z$122,ASIC!V40)</f>
        <v>0</v>
      </c>
      <c r="AA160" s="73">
        <f>IF(ASIC!H40=Data!AA$122,ASIC!V40)</f>
        <v>1.0999999999999999E-2</v>
      </c>
    </row>
    <row r="161" spans="2:27" x14ac:dyDescent="0.3">
      <c r="B161" s="68">
        <f>ASIC!D41</f>
        <v>2017</v>
      </c>
      <c r="C161" s="66">
        <f>IF(ASIC!H41=$C$122,ASIC!V41)</f>
        <v>3.36</v>
      </c>
      <c r="D161" s="66" t="b">
        <f>IF(ASIC!H41=$D$122,ASIC!V41)</f>
        <v>0</v>
      </c>
      <c r="E161" s="66" t="b">
        <f>IF(ASIC!H41=$E$122,ASIC!V41)</f>
        <v>0</v>
      </c>
      <c r="F161" s="66" t="b">
        <f>IF(ASIC!H41=$F$122,ASIC!V41)</f>
        <v>0</v>
      </c>
      <c r="G161" s="66" t="b">
        <f>IF(ASIC!H41=$G$122,ASIC!V41)</f>
        <v>0</v>
      </c>
      <c r="K161"/>
      <c r="L161" s="70">
        <v>2017</v>
      </c>
      <c r="M161" s="70">
        <v>3.36</v>
      </c>
      <c r="N161" s="70"/>
      <c r="O161" s="70"/>
      <c r="P161" s="70"/>
      <c r="Q161" s="70"/>
      <c r="R161" s="70">
        <v>2017</v>
      </c>
      <c r="S161" s="104">
        <f t="shared" si="2"/>
        <v>3.36</v>
      </c>
      <c r="V161" s="70">
        <f>ASIC!D41</f>
        <v>2017</v>
      </c>
      <c r="W161" s="73">
        <f>IF(ASIC!H41=Data!W$122,ASIC!V41)</f>
        <v>3.36</v>
      </c>
      <c r="X161" s="73" t="b">
        <f>IF(ASIC!H41=Data!X$122,ASIC!V41)</f>
        <v>0</v>
      </c>
      <c r="Y161" s="73" t="b">
        <f>IF(ASIC!H41=Data!Y$122,ASIC!V41)</f>
        <v>0</v>
      </c>
      <c r="Z161" s="73" t="b">
        <f>IF(ASIC!H41=Data!Z$122,ASIC!V41)</f>
        <v>0</v>
      </c>
      <c r="AA161" s="73" t="b">
        <f>IF(ASIC!H41=Data!AA$122,ASIC!V41)</f>
        <v>0</v>
      </c>
    </row>
    <row r="162" spans="2:27" x14ac:dyDescent="0.3">
      <c r="B162" s="68">
        <f>ASIC!D42</f>
        <v>2017</v>
      </c>
      <c r="C162" s="66">
        <f>IF(ASIC!H42=$C$122,ASIC!V42)</f>
        <v>0</v>
      </c>
      <c r="D162" s="66" t="b">
        <f>IF(ASIC!H42=$D$122,ASIC!V42)</f>
        <v>0</v>
      </c>
      <c r="E162" s="66" t="b">
        <f>IF(ASIC!H42=$E$122,ASIC!V42)</f>
        <v>0</v>
      </c>
      <c r="F162" s="66" t="b">
        <f>IF(ASIC!H42=$F$122,ASIC!V42)</f>
        <v>0</v>
      </c>
      <c r="G162" s="66" t="b">
        <f>IF(ASIC!H42=$G$122,ASIC!V42)</f>
        <v>0</v>
      </c>
      <c r="K162"/>
      <c r="L162" s="70">
        <v>2017</v>
      </c>
      <c r="M162" s="70"/>
      <c r="N162" s="70"/>
      <c r="O162" s="70"/>
      <c r="P162" s="70"/>
      <c r="Q162" s="70"/>
      <c r="R162" s="70">
        <v>2017</v>
      </c>
      <c r="S162" s="104"/>
      <c r="V162" s="70">
        <f>ASIC!D42</f>
        <v>2017</v>
      </c>
      <c r="W162" s="73">
        <f>IF(ASIC!H42=Data!W$122,ASIC!V42)</f>
        <v>0</v>
      </c>
      <c r="X162" s="73" t="b">
        <f>IF(ASIC!H42=Data!X$122,ASIC!V42)</f>
        <v>0</v>
      </c>
      <c r="Y162" s="73" t="b">
        <f>IF(ASIC!H42=Data!Y$122,ASIC!V42)</f>
        <v>0</v>
      </c>
      <c r="Z162" s="73" t="b">
        <f>IF(ASIC!H42=Data!Z$122,ASIC!V42)</f>
        <v>0</v>
      </c>
      <c r="AA162" s="73" t="b">
        <f>IF(ASIC!H42=Data!AA$122,ASIC!V42)</f>
        <v>0</v>
      </c>
    </row>
    <row r="163" spans="2:27" x14ac:dyDescent="0.3">
      <c r="B163" s="68">
        <f>ASIC!D43</f>
        <v>2017</v>
      </c>
      <c r="C163" s="66">
        <f>IF(ASIC!H43=$C$122,ASIC!V43)</f>
        <v>34.5</v>
      </c>
      <c r="D163" s="66" t="b">
        <f>IF(ASIC!H43=$D$122,ASIC!V43)</f>
        <v>0</v>
      </c>
      <c r="E163" s="66" t="b">
        <f>IF(ASIC!H43=$E$122,ASIC!V43)</f>
        <v>0</v>
      </c>
      <c r="F163" s="66" t="b">
        <f>IF(ASIC!H43=$F$122,ASIC!V43)</f>
        <v>0</v>
      </c>
      <c r="G163" s="66" t="b">
        <f>IF(ASIC!H43=$G$122,ASIC!V43)</f>
        <v>0</v>
      </c>
      <c r="K163"/>
      <c r="L163" s="70">
        <v>2017</v>
      </c>
      <c r="M163" s="70">
        <v>34.5</v>
      </c>
      <c r="N163" s="70"/>
      <c r="O163" s="70"/>
      <c r="P163" s="70"/>
      <c r="Q163" s="70"/>
      <c r="R163" s="70">
        <v>2017</v>
      </c>
      <c r="S163" s="104">
        <f t="shared" si="2"/>
        <v>34.5</v>
      </c>
      <c r="V163" s="70">
        <f>ASIC!D43</f>
        <v>2017</v>
      </c>
      <c r="W163" s="73">
        <f>IF(ASIC!H43=Data!W$122,ASIC!V43)</f>
        <v>34.5</v>
      </c>
      <c r="X163" s="73" t="b">
        <f>IF(ASIC!H43=Data!X$122,ASIC!V43)</f>
        <v>0</v>
      </c>
      <c r="Y163" s="73" t="b">
        <f>IF(ASIC!H43=Data!Y$122,ASIC!V43)</f>
        <v>0</v>
      </c>
      <c r="Z163" s="73" t="b">
        <f>IF(ASIC!H43=Data!Z$122,ASIC!V43)</f>
        <v>0</v>
      </c>
      <c r="AA163" s="73" t="b">
        <f>IF(ASIC!H43=Data!AA$122,ASIC!V43)</f>
        <v>0</v>
      </c>
    </row>
    <row r="164" spans="2:27" x14ac:dyDescent="0.3">
      <c r="B164" s="68">
        <f>ASIC!D44</f>
        <v>2017</v>
      </c>
      <c r="C164" s="66">
        <f>IF(ASIC!H44=$C$122,ASIC!V44)</f>
        <v>34.5</v>
      </c>
      <c r="D164" s="66" t="b">
        <f>IF(ASIC!H44=$D$122,ASIC!V44)</f>
        <v>0</v>
      </c>
      <c r="E164" s="66" t="b">
        <f>IF(ASIC!H44=$E$122,ASIC!V44)</f>
        <v>0</v>
      </c>
      <c r="F164" s="66" t="b">
        <f>IF(ASIC!H44=$F$122,ASIC!V44)</f>
        <v>0</v>
      </c>
      <c r="G164" s="66" t="b">
        <f>IF(ASIC!H44=$G$122,ASIC!V44)</f>
        <v>0</v>
      </c>
      <c r="K164"/>
      <c r="L164" s="70">
        <v>2017</v>
      </c>
      <c r="M164" s="70">
        <v>34.5</v>
      </c>
      <c r="N164" s="70"/>
      <c r="O164" s="70"/>
      <c r="P164" s="70"/>
      <c r="Q164" s="70"/>
      <c r="R164" s="70">
        <v>2017</v>
      </c>
      <c r="S164" s="104">
        <f t="shared" si="2"/>
        <v>34.5</v>
      </c>
      <c r="V164" s="70">
        <f>ASIC!D44</f>
        <v>2017</v>
      </c>
      <c r="W164" s="73">
        <f>IF(ASIC!H44=Data!W$122,ASIC!V44)</f>
        <v>34.5</v>
      </c>
      <c r="X164" s="73" t="b">
        <f>IF(ASIC!H44=Data!X$122,ASIC!V44)</f>
        <v>0</v>
      </c>
      <c r="Y164" s="73" t="b">
        <f>IF(ASIC!H44=Data!Y$122,ASIC!V44)</f>
        <v>0</v>
      </c>
      <c r="Z164" s="73" t="b">
        <f>IF(ASIC!H44=Data!Z$122,ASIC!V44)</f>
        <v>0</v>
      </c>
      <c r="AA164" s="73" t="b">
        <f>IF(ASIC!H44=Data!AA$122,ASIC!V44)</f>
        <v>0</v>
      </c>
    </row>
    <row r="165" spans="2:27" x14ac:dyDescent="0.3">
      <c r="B165" s="68">
        <f>ASIC!D45</f>
        <v>2017</v>
      </c>
      <c r="C165" s="66" t="b">
        <f>IF(ASIC!H45=$C$122,ASIC!V45)</f>
        <v>0</v>
      </c>
      <c r="D165" s="66" t="b">
        <f>IF(ASIC!H45=$D$122,ASIC!V45)</f>
        <v>0</v>
      </c>
      <c r="E165" s="66" t="b">
        <f>IF(ASIC!H45=$E$122,ASIC!V45)</f>
        <v>0</v>
      </c>
      <c r="F165" s="66">
        <f>IF(ASIC!H45=$F$122,ASIC!V45)</f>
        <v>4.0000000000000001E-3</v>
      </c>
      <c r="G165" s="66" t="b">
        <f>IF(ASIC!H45=$G$122,ASIC!V45)</f>
        <v>0</v>
      </c>
      <c r="K165"/>
      <c r="L165" s="70">
        <v>2017</v>
      </c>
      <c r="M165" s="70"/>
      <c r="N165" s="70"/>
      <c r="O165" s="70"/>
      <c r="P165" s="70"/>
      <c r="Q165" s="70"/>
      <c r="R165" s="70">
        <v>2017</v>
      </c>
      <c r="S165" s="104"/>
      <c r="V165" s="70">
        <f>ASIC!D45</f>
        <v>2017</v>
      </c>
      <c r="W165" s="73" t="b">
        <f>IF(ASIC!H45=Data!W$122,ASIC!V45)</f>
        <v>0</v>
      </c>
      <c r="X165" s="73" t="b">
        <f>IF(ASIC!H45=Data!X$122,ASIC!V45)</f>
        <v>0</v>
      </c>
      <c r="Y165" s="73" t="b">
        <f>IF(ASIC!H45=Data!Y$122,ASIC!V45)</f>
        <v>0</v>
      </c>
      <c r="Z165" s="73">
        <f>IF(ASIC!H45=Data!Z$122,ASIC!V45)</f>
        <v>4.0000000000000001E-3</v>
      </c>
      <c r="AA165" s="73" t="b">
        <f>IF(ASIC!H45=Data!AA$122,ASIC!V45)</f>
        <v>0</v>
      </c>
    </row>
    <row r="166" spans="2:27" x14ac:dyDescent="0.3">
      <c r="B166" s="68">
        <f>ASIC!D46</f>
        <v>2017</v>
      </c>
      <c r="C166" s="66">
        <f>IF(ASIC!H46=$C$122,ASIC!V46)</f>
        <v>11</v>
      </c>
      <c r="D166" s="66" t="b">
        <f>IF(ASIC!H46=$D$122,ASIC!V46)</f>
        <v>0</v>
      </c>
      <c r="E166" s="66" t="b">
        <f>IF(ASIC!H46=$E$122,ASIC!V46)</f>
        <v>0</v>
      </c>
      <c r="F166" s="66" t="b">
        <f>IF(ASIC!H46=$F$122,ASIC!V46)</f>
        <v>0</v>
      </c>
      <c r="G166" s="66" t="b">
        <f>IF(ASIC!H46=$G$122,ASIC!V46)</f>
        <v>0</v>
      </c>
      <c r="K166"/>
      <c r="L166" s="70">
        <v>2017</v>
      </c>
      <c r="M166" s="70">
        <v>11</v>
      </c>
      <c r="N166" s="70"/>
      <c r="O166" s="70"/>
      <c r="P166" s="70"/>
      <c r="Q166" s="70"/>
      <c r="R166" s="70">
        <v>2017</v>
      </c>
      <c r="S166" s="104">
        <f t="shared" si="2"/>
        <v>11</v>
      </c>
      <c r="V166" s="70">
        <f>ASIC!D46</f>
        <v>2017</v>
      </c>
      <c r="W166" s="73">
        <f>IF(ASIC!H46=Data!W$122,ASIC!V46)</f>
        <v>11</v>
      </c>
      <c r="X166" s="73" t="b">
        <f>IF(ASIC!H46=Data!X$122,ASIC!V46)</f>
        <v>0</v>
      </c>
      <c r="Y166" s="73" t="b">
        <f>IF(ASIC!H46=Data!Y$122,ASIC!V46)</f>
        <v>0</v>
      </c>
      <c r="Z166" s="73" t="b">
        <f>IF(ASIC!H46=Data!Z$122,ASIC!V46)</f>
        <v>0</v>
      </c>
      <c r="AA166" s="73" t="b">
        <f>IF(ASIC!H46=Data!AA$122,ASIC!V46)</f>
        <v>0</v>
      </c>
    </row>
    <row r="167" spans="2:27" x14ac:dyDescent="0.3">
      <c r="B167" s="68">
        <f>ASIC!D47</f>
        <v>2017</v>
      </c>
      <c r="C167" s="66" t="b">
        <f>IF(ASIC!H47=$C$122,ASIC!V47)</f>
        <v>0</v>
      </c>
      <c r="D167" s="66" t="b">
        <f>IF(ASIC!H47=$D$122,ASIC!V47)</f>
        <v>0</v>
      </c>
      <c r="E167" s="66" t="b">
        <f>IF(ASIC!H47=$E$122,ASIC!V47)</f>
        <v>0</v>
      </c>
      <c r="F167" s="66" t="b">
        <f>IF(ASIC!H47=$F$122,ASIC!V47)</f>
        <v>0</v>
      </c>
      <c r="G167" s="66">
        <f>IF(ASIC!H47=$G$122,ASIC!V47)</f>
        <v>1.0200000000000001E-3</v>
      </c>
      <c r="K167"/>
      <c r="L167" s="70">
        <v>2017</v>
      </c>
      <c r="M167" s="70"/>
      <c r="N167" s="70"/>
      <c r="O167" s="70"/>
      <c r="P167" s="70"/>
      <c r="Q167" s="70">
        <v>1.0200000000000001E-3</v>
      </c>
      <c r="R167" s="70">
        <v>2017</v>
      </c>
      <c r="S167" s="104">
        <f t="shared" si="2"/>
        <v>1.0200000000000001E-3</v>
      </c>
      <c r="V167" s="70">
        <f>ASIC!D47</f>
        <v>2017</v>
      </c>
      <c r="W167" s="73" t="b">
        <f>IF(ASIC!H47=Data!W$122,ASIC!V47)</f>
        <v>0</v>
      </c>
      <c r="X167" s="73" t="b">
        <f>IF(ASIC!H47=Data!X$122,ASIC!V47)</f>
        <v>0</v>
      </c>
      <c r="Y167" s="73" t="b">
        <f>IF(ASIC!H47=Data!Y$122,ASIC!V47)</f>
        <v>0</v>
      </c>
      <c r="Z167" s="73" t="b">
        <f>IF(ASIC!H47=Data!Z$122,ASIC!V47)</f>
        <v>0</v>
      </c>
      <c r="AA167" s="73">
        <f>IF(ASIC!H47=Data!AA$122,ASIC!V47)</f>
        <v>1.0200000000000001E-3</v>
      </c>
    </row>
    <row r="168" spans="2:27" x14ac:dyDescent="0.3">
      <c r="B168" s="68">
        <f>ASIC!D48</f>
        <v>2018</v>
      </c>
      <c r="C168" s="66">
        <f>IF(ASIC!H48=$C$122,ASIC!V48)</f>
        <v>5.2</v>
      </c>
      <c r="D168" s="66" t="b">
        <f>IF(ASIC!H48=$D$122,ASIC!V48)</f>
        <v>0</v>
      </c>
      <c r="E168" s="66" t="b">
        <f>IF(ASIC!H48=$E$122,ASIC!V48)</f>
        <v>0</v>
      </c>
      <c r="F168" s="66" t="b">
        <f>IF(ASIC!H48=$F$122,ASIC!V48)</f>
        <v>0</v>
      </c>
      <c r="G168" s="66" t="b">
        <f>IF(ASIC!H48=$G$122,ASIC!V48)</f>
        <v>0</v>
      </c>
      <c r="K168"/>
      <c r="L168" s="70">
        <v>2018</v>
      </c>
      <c r="M168" s="70">
        <v>5.2</v>
      </c>
      <c r="N168" s="70"/>
      <c r="O168" s="70"/>
      <c r="P168" s="70"/>
      <c r="Q168" s="70"/>
      <c r="R168" s="70">
        <v>2018</v>
      </c>
      <c r="S168" s="104">
        <f t="shared" si="2"/>
        <v>5.2</v>
      </c>
      <c r="V168" s="70">
        <f>ASIC!D48</f>
        <v>2018</v>
      </c>
      <c r="W168" s="73">
        <f>IF(ASIC!H48=Data!W$122,ASIC!V48)</f>
        <v>5.2</v>
      </c>
      <c r="X168" s="73" t="b">
        <f>IF(ASIC!H48=Data!X$122,ASIC!V48)</f>
        <v>0</v>
      </c>
      <c r="Y168" s="73" t="b">
        <f>IF(ASIC!H48=Data!Y$122,ASIC!V48)</f>
        <v>0</v>
      </c>
      <c r="Z168" s="73" t="b">
        <f>IF(ASIC!H48=Data!Z$122,ASIC!V48)</f>
        <v>0</v>
      </c>
      <c r="AA168" s="73" t="b">
        <f>IF(ASIC!H48=Data!AA$122,ASIC!V48)</f>
        <v>0</v>
      </c>
    </row>
    <row r="169" spans="2:27" x14ac:dyDescent="0.3">
      <c r="B169" s="68">
        <f>ASIC!D49</f>
        <v>2018</v>
      </c>
      <c r="C169" s="66">
        <f>IF(ASIC!H49=$C$122,ASIC!V49)</f>
        <v>0.38</v>
      </c>
      <c r="D169" s="66" t="b">
        <f>IF(ASIC!H49=$D$122,ASIC!V49)</f>
        <v>0</v>
      </c>
      <c r="E169" s="66" t="b">
        <f>IF(ASIC!H49=$E$122,ASIC!V49)</f>
        <v>0</v>
      </c>
      <c r="F169" s="66" t="b">
        <f>IF(ASIC!H49=$F$122,ASIC!V49)</f>
        <v>0</v>
      </c>
      <c r="G169" s="66" t="b">
        <f>IF(ASIC!H49=$G$122,ASIC!V49)</f>
        <v>0</v>
      </c>
      <c r="K169"/>
      <c r="L169" s="70">
        <v>2018</v>
      </c>
      <c r="M169" s="70">
        <v>0.38</v>
      </c>
      <c r="N169" s="70"/>
      <c r="O169" s="70"/>
      <c r="P169" s="70"/>
      <c r="Q169" s="70"/>
      <c r="R169" s="70">
        <v>2018</v>
      </c>
      <c r="S169" s="104">
        <f t="shared" si="2"/>
        <v>0.38</v>
      </c>
      <c r="V169" s="70">
        <f>ASIC!D49</f>
        <v>2018</v>
      </c>
      <c r="W169" s="73">
        <f>IF(ASIC!H49=Data!W$122,ASIC!V49)</f>
        <v>0.38</v>
      </c>
      <c r="X169" s="73" t="b">
        <f>IF(ASIC!H49=Data!X$122,ASIC!V49)</f>
        <v>0</v>
      </c>
      <c r="Y169" s="73" t="b">
        <f>IF(ASIC!H49=Data!Y$122,ASIC!V49)</f>
        <v>0</v>
      </c>
      <c r="Z169" s="73" t="b">
        <f>IF(ASIC!H49=Data!Z$122,ASIC!V49)</f>
        <v>0</v>
      </c>
      <c r="AA169" s="73" t="b">
        <f>IF(ASIC!H49=Data!AA$122,ASIC!V49)</f>
        <v>0</v>
      </c>
    </row>
    <row r="170" spans="2:27" x14ac:dyDescent="0.3">
      <c r="B170" s="68">
        <f>ASIC!D50</f>
        <v>2018</v>
      </c>
      <c r="C170" s="66">
        <f>IF(ASIC!H50=$C$122,ASIC!V50)</f>
        <v>9.8000000000000007</v>
      </c>
      <c r="D170" s="66" t="b">
        <f>IF(ASIC!H50=$D$122,ASIC!V50)</f>
        <v>0</v>
      </c>
      <c r="E170" s="66" t="b">
        <f>IF(ASIC!H50=$E$122,ASIC!V50)</f>
        <v>0</v>
      </c>
      <c r="F170" s="66" t="b">
        <f>IF(ASIC!H50=$F$122,ASIC!V50)</f>
        <v>0</v>
      </c>
      <c r="G170" s="66" t="b">
        <f>IF(ASIC!H50=$G$122,ASIC!V50)</f>
        <v>0</v>
      </c>
      <c r="K170"/>
      <c r="L170" s="70">
        <v>2018</v>
      </c>
      <c r="M170" s="70">
        <v>9.8000000000000007</v>
      </c>
      <c r="N170" s="70"/>
      <c r="O170" s="70"/>
      <c r="P170" s="70"/>
      <c r="Q170" s="70"/>
      <c r="R170" s="70">
        <v>2018</v>
      </c>
      <c r="S170" s="104">
        <f t="shared" si="2"/>
        <v>9.8000000000000007</v>
      </c>
      <c r="V170" s="70">
        <f>ASIC!D50</f>
        <v>2018</v>
      </c>
      <c r="W170" s="73">
        <f>IF(ASIC!H50=Data!W$122,ASIC!V50)</f>
        <v>9.8000000000000007</v>
      </c>
      <c r="X170" s="73" t="b">
        <f>IF(ASIC!H50=Data!X$122,ASIC!V50)</f>
        <v>0</v>
      </c>
      <c r="Y170" s="73" t="b">
        <f>IF(ASIC!H50=Data!Y$122,ASIC!V50)</f>
        <v>0</v>
      </c>
      <c r="Z170" s="73" t="b">
        <f>IF(ASIC!H50=Data!Z$122,ASIC!V50)</f>
        <v>0</v>
      </c>
      <c r="AA170" s="73" t="b">
        <f>IF(ASIC!H50=Data!AA$122,ASIC!V50)</f>
        <v>0</v>
      </c>
    </row>
    <row r="171" spans="2:27" x14ac:dyDescent="0.3">
      <c r="B171" s="68">
        <f>ASIC!D51</f>
        <v>2018</v>
      </c>
      <c r="C171" s="66">
        <f>IF(ASIC!H51=$C$122,ASIC!V51)</f>
        <v>3.6</v>
      </c>
      <c r="D171" s="66" t="b">
        <f>IF(ASIC!H51=$D$122,ASIC!V51)</f>
        <v>0</v>
      </c>
      <c r="E171" s="66" t="b">
        <f>IF(ASIC!H51=$E$122,ASIC!V51)</f>
        <v>0</v>
      </c>
      <c r="F171" s="66" t="b">
        <f>IF(ASIC!H51=$F$122,ASIC!V51)</f>
        <v>0</v>
      </c>
      <c r="G171" s="66" t="b">
        <f>IF(ASIC!H51=$G$122,ASIC!V51)</f>
        <v>0</v>
      </c>
      <c r="K171"/>
      <c r="L171" s="70">
        <v>2018</v>
      </c>
      <c r="M171" s="70">
        <v>3.6</v>
      </c>
      <c r="N171" s="70"/>
      <c r="O171" s="70"/>
      <c r="P171" s="70"/>
      <c r="Q171" s="70"/>
      <c r="R171" s="70">
        <v>2018</v>
      </c>
      <c r="S171" s="104">
        <f t="shared" si="2"/>
        <v>3.6</v>
      </c>
      <c r="V171" s="70">
        <f>ASIC!D51</f>
        <v>2018</v>
      </c>
      <c r="W171" s="73">
        <f>IF(ASIC!H51=Data!W$122,ASIC!V51)</f>
        <v>3.6</v>
      </c>
      <c r="X171" s="73" t="b">
        <f>IF(ASIC!H51=Data!X$122,ASIC!V51)</f>
        <v>0</v>
      </c>
      <c r="Y171" s="73" t="b">
        <f>IF(ASIC!H51=Data!Y$122,ASIC!V51)</f>
        <v>0</v>
      </c>
      <c r="Z171" s="73" t="b">
        <f>IF(ASIC!H51=Data!Z$122,ASIC!V51)</f>
        <v>0</v>
      </c>
      <c r="AA171" s="73" t="b">
        <f>IF(ASIC!H51=Data!AA$122,ASIC!V51)</f>
        <v>0</v>
      </c>
    </row>
    <row r="172" spans="2:27" x14ac:dyDescent="0.3">
      <c r="B172" s="68">
        <f>ASIC!D52</f>
        <v>2018</v>
      </c>
      <c r="C172" s="66" t="str">
        <f>IF(ASIC!H52=$C$122,ASIC!V52)</f>
        <v>--</v>
      </c>
      <c r="D172" s="66" t="b">
        <f>IF(ASIC!H52=$D$122,ASIC!V52)</f>
        <v>0</v>
      </c>
      <c r="E172" s="66" t="b">
        <f>IF(ASIC!H52=$E$122,ASIC!V52)</f>
        <v>0</v>
      </c>
      <c r="F172" s="66" t="b">
        <f>IF(ASIC!H52=$F$122,ASIC!V52)</f>
        <v>0</v>
      </c>
      <c r="G172" s="66" t="b">
        <f>IF(ASIC!H52=$G$122,ASIC!V52)</f>
        <v>0</v>
      </c>
      <c r="K172"/>
      <c r="L172" s="70">
        <v>2018</v>
      </c>
      <c r="M172" s="66"/>
      <c r="N172" s="66"/>
      <c r="O172" s="66"/>
      <c r="P172" s="66"/>
      <c r="Q172" s="66"/>
      <c r="R172" s="70">
        <v>2018</v>
      </c>
      <c r="V172" s="70"/>
      <c r="W172" s="73"/>
      <c r="X172" s="73"/>
      <c r="Y172" s="73"/>
      <c r="Z172" s="73"/>
      <c r="AA172" s="73"/>
    </row>
    <row r="173" spans="2:27" x14ac:dyDescent="0.3">
      <c r="B173" s="68">
        <f>ASIC!D53</f>
        <v>2018</v>
      </c>
      <c r="C173" s="66" t="b">
        <f>IF(ASIC!H53=$C$122,ASIC!V53)</f>
        <v>0</v>
      </c>
      <c r="D173" s="66" t="str">
        <f>IF(ASIC!H53=$D$122,ASIC!V53)</f>
        <v>--</v>
      </c>
      <c r="E173" s="66" t="b">
        <f>IF(ASIC!H53=$E$122,ASIC!V53)</f>
        <v>0</v>
      </c>
      <c r="F173" s="66" t="b">
        <f>IF(ASIC!H53=$F$122,ASIC!V53)</f>
        <v>0</v>
      </c>
      <c r="G173" s="66" t="b">
        <f>IF(ASIC!H53=$G$122,ASIC!V53)</f>
        <v>0</v>
      </c>
      <c r="K173"/>
      <c r="L173" s="70">
        <v>2018</v>
      </c>
      <c r="M173" s="66"/>
      <c r="N173" s="66"/>
      <c r="O173" s="66"/>
      <c r="P173" s="66"/>
      <c r="Q173" s="66"/>
      <c r="R173" s="70">
        <v>2018</v>
      </c>
      <c r="V173" s="70"/>
      <c r="W173" s="73"/>
      <c r="X173" s="73"/>
      <c r="Y173" s="73"/>
      <c r="Z173" s="73"/>
      <c r="AA173" s="73"/>
    </row>
    <row r="174" spans="2:27" x14ac:dyDescent="0.3">
      <c r="B174" s="68">
        <f>ASIC!D54</f>
        <v>2018</v>
      </c>
      <c r="C174" s="66" t="b">
        <f>IF(ASIC!H54=$C$122,ASIC!V54)</f>
        <v>0</v>
      </c>
      <c r="D174" s="66" t="b">
        <f>IF(ASIC!H54=$D$122,ASIC!V54)</f>
        <v>0</v>
      </c>
      <c r="E174" s="66" t="b">
        <f>IF(ASIC!H54=$E$122,ASIC!V54)</f>
        <v>0</v>
      </c>
      <c r="F174" s="66" t="b">
        <f>IF(ASIC!H54=$F$122,ASIC!V54)</f>
        <v>0</v>
      </c>
      <c r="G174" s="66">
        <f>IF(ASIC!H54=$G$122,ASIC!V54)</f>
        <v>1.0200000000000001E-3</v>
      </c>
      <c r="K174"/>
      <c r="L174" s="70">
        <v>2018</v>
      </c>
      <c r="M174" s="66"/>
      <c r="N174" s="66"/>
      <c r="O174" s="66"/>
      <c r="P174" s="66"/>
      <c r="Q174" s="70">
        <v>1.0200000000000001E-3</v>
      </c>
      <c r="R174" s="70">
        <v>2018</v>
      </c>
      <c r="V174" s="70"/>
      <c r="W174" s="73"/>
      <c r="X174" s="73"/>
      <c r="Y174" s="73"/>
      <c r="Z174" s="73"/>
      <c r="AA174" s="73"/>
    </row>
    <row r="175" spans="2:27" x14ac:dyDescent="0.3">
      <c r="B175" s="68">
        <f>ASIC!D55</f>
        <v>2018</v>
      </c>
      <c r="C175" s="66">
        <f>IF(ASIC!H55=$C$122,ASIC!V55)</f>
        <v>12</v>
      </c>
      <c r="D175" s="66" t="b">
        <f>IF(ASIC!H55=$D$122,ASIC!V55)</f>
        <v>0</v>
      </c>
      <c r="E175" s="66" t="b">
        <f>IF(ASIC!H55=$E$122,ASIC!V55)</f>
        <v>0</v>
      </c>
      <c r="F175" s="66" t="b">
        <f>IF(ASIC!H55=$F$122,ASIC!V55)</f>
        <v>0</v>
      </c>
      <c r="G175" s="66" t="b">
        <f>IF(ASIC!H55=$G$122,ASIC!V55)</f>
        <v>0</v>
      </c>
      <c r="K175"/>
      <c r="L175" s="70">
        <v>2018</v>
      </c>
      <c r="M175" s="70">
        <v>12</v>
      </c>
      <c r="N175" s="66"/>
      <c r="O175" s="66"/>
      <c r="P175" s="66"/>
      <c r="Q175" s="66"/>
      <c r="R175" s="70">
        <v>2018</v>
      </c>
    </row>
    <row r="176" spans="2:27" x14ac:dyDescent="0.3">
      <c r="B176" s="68"/>
      <c r="K176"/>
    </row>
    <row r="177" spans="1:28" x14ac:dyDescent="0.3">
      <c r="B177" s="68"/>
      <c r="K177"/>
    </row>
    <row r="178" spans="1:28" x14ac:dyDescent="0.3">
      <c r="K178"/>
    </row>
    <row r="179" spans="1:28" x14ac:dyDescent="0.3">
      <c r="K179"/>
    </row>
    <row r="180" spans="1:28" x14ac:dyDescent="0.3">
      <c r="A180" t="s">
        <v>197</v>
      </c>
      <c r="B180" t="s">
        <v>125</v>
      </c>
      <c r="F180" s="72" t="s">
        <v>110</v>
      </c>
      <c r="G180" s="72" t="s">
        <v>111</v>
      </c>
      <c r="H180" t="s">
        <v>112</v>
      </c>
      <c r="I180" t="s">
        <v>128</v>
      </c>
      <c r="J180" t="s">
        <v>138</v>
      </c>
      <c r="K180"/>
      <c r="L180" s="66" t="s">
        <v>317</v>
      </c>
      <c r="M180" s="66" t="s">
        <v>110</v>
      </c>
      <c r="N180" s="66" t="s">
        <v>111</v>
      </c>
      <c r="O180" s="66" t="s">
        <v>112</v>
      </c>
      <c r="P180" s="66" t="s">
        <v>128</v>
      </c>
      <c r="Q180" s="66" t="s">
        <v>138</v>
      </c>
      <c r="S180" s="69" t="s">
        <v>240</v>
      </c>
      <c r="V180" s="74" t="s">
        <v>285</v>
      </c>
      <c r="W180" s="75" t="s">
        <v>110</v>
      </c>
      <c r="X180" s="75" t="s">
        <v>111</v>
      </c>
      <c r="Y180" s="75" t="s">
        <v>112</v>
      </c>
      <c r="Z180" s="72" t="s">
        <v>128</v>
      </c>
      <c r="AA180" s="72" t="s">
        <v>138</v>
      </c>
    </row>
    <row r="181" spans="1:28" x14ac:dyDescent="0.3">
      <c r="B181" s="68">
        <f>ASIC!D3</f>
        <v>2000</v>
      </c>
      <c r="C181" s="68">
        <f>ASIC!I3</f>
        <v>350</v>
      </c>
      <c r="D181" s="71">
        <v>4</v>
      </c>
      <c r="E181" s="68">
        <f>ASIC!L3</f>
        <v>2.5</v>
      </c>
      <c r="F181">
        <f t="shared" ref="F181:F190" si="3">M123*(0.7)^D181/(E181^2)/$E$242</f>
        <v>194137.861330099</v>
      </c>
      <c r="G181">
        <f t="shared" ref="G181:G190" si="4">N123*(0.7)^D181/(E181^2)/$E$242</f>
        <v>0</v>
      </c>
      <c r="H181">
        <f t="shared" ref="H181:H190" si="5">O123*(0.7)^D181/(E181^2)/$E$242</f>
        <v>0</v>
      </c>
      <c r="I181">
        <f t="shared" ref="I181:I190" si="6">P123*(0.7)^D181/(E181^2)/$E$242</f>
        <v>0</v>
      </c>
      <c r="J181">
        <f t="shared" ref="J181:J190" si="7">Q123*(0.7)^D181/(E181^2)/$E$242</f>
        <v>0</v>
      </c>
      <c r="K181"/>
      <c r="L181" s="66">
        <v>2000</v>
      </c>
      <c r="M181" s="66">
        <v>194137.861330099</v>
      </c>
      <c r="N181" s="66"/>
      <c r="O181" s="66"/>
      <c r="P181" s="66"/>
      <c r="Q181" s="66"/>
      <c r="R181" s="168">
        <v>2000</v>
      </c>
      <c r="S181" s="104">
        <f t="shared" ref="S181:S229" si="8">SUM(M181:Q181)</f>
        <v>194137.861330099</v>
      </c>
      <c r="U181">
        <f>ASIC!I3</f>
        <v>350</v>
      </c>
      <c r="V181" s="70">
        <f>ASIC!D3</f>
        <v>2000</v>
      </c>
      <c r="W181" s="73">
        <f>IF(ASIC!H3=Data!W$180,ASIC!V3*(0.7^AB181)/(ASIC!L3^2))</f>
        <v>76.86401333333329</v>
      </c>
      <c r="X181" s="73" t="b">
        <f>IF(ASIC!H3=Data!X$180,ASIC!V3*(0.7^AB181)/(ASIC!L3^2))</f>
        <v>0</v>
      </c>
      <c r="Y181" s="73" t="b">
        <f>IF(ASIC!H3=Data!Y$180,ASIC!V3*(0.7^AB181)/(ASIC!L3^2))</f>
        <v>0</v>
      </c>
      <c r="Z181" s="73" t="b">
        <f>IF(ASIC!H3=Data!Z$180,ASIC!V3*(0.7^AB181)/(ASIC!L3^2))</f>
        <v>0</v>
      </c>
      <c r="AA181" s="73" t="b">
        <f>IF(ASIC!H3=Data!AA$180,ASIC!V3*(0.7^AB181)/(ASIC!L3^2))</f>
        <v>0</v>
      </c>
      <c r="AB181">
        <v>8</v>
      </c>
    </row>
    <row r="182" spans="1:28" x14ac:dyDescent="0.3">
      <c r="B182" s="68">
        <f>ASIC!D4</f>
        <v>2004</v>
      </c>
      <c r="C182" s="68">
        <f>ASIC!I4</f>
        <v>180</v>
      </c>
      <c r="D182" s="68">
        <v>3</v>
      </c>
      <c r="E182" s="68">
        <f>ASIC!L4</f>
        <v>1.8</v>
      </c>
      <c r="F182">
        <f t="shared" si="3"/>
        <v>0</v>
      </c>
      <c r="G182">
        <f t="shared" si="4"/>
        <v>0</v>
      </c>
      <c r="H182">
        <f t="shared" si="5"/>
        <v>0</v>
      </c>
      <c r="I182">
        <f t="shared" si="6"/>
        <v>0</v>
      </c>
      <c r="J182">
        <f t="shared" si="7"/>
        <v>0</v>
      </c>
      <c r="K182"/>
      <c r="L182" s="66">
        <v>2004</v>
      </c>
      <c r="M182" s="66"/>
      <c r="N182" s="66"/>
      <c r="O182" s="66"/>
      <c r="P182" s="66"/>
      <c r="Q182" s="66"/>
      <c r="R182" s="168">
        <v>2004</v>
      </c>
      <c r="S182" s="104"/>
      <c r="U182">
        <f>ASIC!I4</f>
        <v>180</v>
      </c>
      <c r="V182" s="70">
        <f>ASIC!D4</f>
        <v>2004</v>
      </c>
      <c r="W182" s="73" t="b">
        <f>IF(ASIC!H4=Data!W$180,ASIC!V4*(0.7^AB182)/(ASIC!L4^2))</f>
        <v>0</v>
      </c>
      <c r="X182" s="73" t="e">
        <f>IF(ASIC!H4=Data!X$180,ASIC!V4*(0.7^AB182)/(ASIC!L4^2))</f>
        <v>#VALUE!</v>
      </c>
      <c r="Y182" s="73" t="b">
        <f>IF(ASIC!H4=Data!Y$180,ASIC!V4*(0.7^AB182)/(ASIC!L4^2))</f>
        <v>0</v>
      </c>
      <c r="Z182" s="73" t="b">
        <f>IF(ASIC!H4=Data!Z$180,ASIC!V4*(0.7^AB182)/(ASIC!L4^2))</f>
        <v>0</v>
      </c>
      <c r="AA182" s="73" t="b">
        <f>IF(ASIC!H4=Data!AA$180,ASIC!V4*(0.7^AB182)/(ASIC!L4^2))</f>
        <v>0</v>
      </c>
      <c r="AB182">
        <v>6</v>
      </c>
    </row>
    <row r="183" spans="1:28" x14ac:dyDescent="0.3">
      <c r="B183" s="68">
        <f>ASIC!D5</f>
        <v>2005</v>
      </c>
      <c r="C183" s="68">
        <f>ASIC!I5</f>
        <v>180</v>
      </c>
      <c r="D183" s="68">
        <v>3</v>
      </c>
      <c r="E183" s="68">
        <f>ASIC!L5</f>
        <v>1.8</v>
      </c>
      <c r="F183">
        <f t="shared" si="3"/>
        <v>0</v>
      </c>
      <c r="G183">
        <f t="shared" si="4"/>
        <v>10.994083582268338</v>
      </c>
      <c r="H183">
        <f t="shared" si="5"/>
        <v>0</v>
      </c>
      <c r="I183">
        <f t="shared" si="6"/>
        <v>0</v>
      </c>
      <c r="J183">
        <f t="shared" si="7"/>
        <v>0</v>
      </c>
      <c r="K183"/>
      <c r="L183" s="66">
        <v>2005</v>
      </c>
      <c r="M183" s="66"/>
      <c r="N183" s="66">
        <v>10.994083582268338</v>
      </c>
      <c r="O183" s="66"/>
      <c r="P183" s="66"/>
      <c r="Q183" s="66"/>
      <c r="R183" s="168">
        <v>2005</v>
      </c>
      <c r="S183" s="104">
        <f t="shared" si="8"/>
        <v>10.994083582268338</v>
      </c>
      <c r="U183">
        <f>ASIC!I5</f>
        <v>180</v>
      </c>
      <c r="V183" s="70">
        <f>ASIC!D5</f>
        <v>2005</v>
      </c>
      <c r="W183" s="73" t="b">
        <f>IF(ASIC!H5=Data!W$180,ASIC!V5*(0.7^AB183)/(ASIC!L5^2))</f>
        <v>0</v>
      </c>
      <c r="X183" s="73">
        <f>IF(ASIC!H5=Data!X$180,ASIC!V5*(0.7^AB183)/(ASIC!L5^2))</f>
        <v>6.2183306327160473E-3</v>
      </c>
      <c r="Y183" s="73" t="b">
        <f>IF(ASIC!H5=Data!Y$180,ASIC!V5*(0.7^AB183)/(ASIC!L5^2))</f>
        <v>0</v>
      </c>
      <c r="Z183" s="73" t="b">
        <f>IF(ASIC!H5=Data!Z$180,ASIC!V5*(0.7^AB183)/(ASIC!L5^2))</f>
        <v>0</v>
      </c>
      <c r="AA183" s="73" t="b">
        <f>IF(ASIC!H5=Data!AA$180,ASIC!V5*(0.7^AB183)/(ASIC!L5^2))</f>
        <v>0</v>
      </c>
      <c r="AB183">
        <v>6</v>
      </c>
    </row>
    <row r="184" spans="1:28" x14ac:dyDescent="0.3">
      <c r="B184" s="68">
        <f>ASIC!D6</f>
        <v>2007</v>
      </c>
      <c r="C184" s="68">
        <f>ASIC!I6</f>
        <v>130</v>
      </c>
      <c r="D184" s="68">
        <v>2</v>
      </c>
      <c r="E184" s="68">
        <f>ASIC!L6</f>
        <v>1</v>
      </c>
      <c r="F184">
        <f t="shared" si="3"/>
        <v>0</v>
      </c>
      <c r="G184">
        <f t="shared" si="4"/>
        <v>0</v>
      </c>
      <c r="H184">
        <f t="shared" si="5"/>
        <v>276.34930260764094</v>
      </c>
      <c r="I184">
        <f t="shared" si="6"/>
        <v>0</v>
      </c>
      <c r="J184">
        <f t="shared" si="7"/>
        <v>0</v>
      </c>
      <c r="K184"/>
      <c r="L184" s="66">
        <v>2007</v>
      </c>
      <c r="M184" s="66"/>
      <c r="N184" s="66"/>
      <c r="O184" s="66">
        <v>276.34930260764094</v>
      </c>
      <c r="P184" s="66"/>
      <c r="Q184" s="66"/>
      <c r="R184" s="168">
        <v>2007</v>
      </c>
      <c r="S184" s="104">
        <f t="shared" si="8"/>
        <v>276.34930260764094</v>
      </c>
      <c r="U184">
        <f>ASIC!I6</f>
        <v>130</v>
      </c>
      <c r="V184" s="70">
        <f>ASIC!D6</f>
        <v>2007</v>
      </c>
      <c r="W184" s="73" t="b">
        <f>IF(ASIC!H6=Data!W$180,ASIC!V6*(0.7^AB184)/(ASIC!L6^2))</f>
        <v>0</v>
      </c>
      <c r="X184" s="73" t="b">
        <f>IF(ASIC!H6=Data!X$180,ASIC!V6*(0.7^AB184)/(ASIC!L6^2))</f>
        <v>0</v>
      </c>
      <c r="Y184" s="73">
        <f>IF(ASIC!H6=Data!Y$180,ASIC!V6*(0.7^AB184)/(ASIC!L6^2))</f>
        <v>0.15630509999999995</v>
      </c>
      <c r="Z184" s="73" t="b">
        <f>IF(ASIC!H6=Data!Z$180,ASIC!V6*(0.7^AB184)/(ASIC!L6^2))</f>
        <v>0</v>
      </c>
      <c r="AA184" s="73" t="b">
        <f>IF(ASIC!H6=Data!AA$180,ASIC!V6*(0.7^AB184)/(ASIC!L6^2))</f>
        <v>0</v>
      </c>
      <c r="AB184">
        <v>5</v>
      </c>
    </row>
    <row r="185" spans="1:28" x14ac:dyDescent="0.3">
      <c r="B185" s="68">
        <f>ASIC!D7</f>
        <v>2008</v>
      </c>
      <c r="C185" s="68">
        <f>ASIC!I7</f>
        <v>130</v>
      </c>
      <c r="D185" s="68">
        <v>2</v>
      </c>
      <c r="E185" s="68">
        <f>ASIC!L7</f>
        <v>1</v>
      </c>
      <c r="F185">
        <f t="shared" si="3"/>
        <v>0</v>
      </c>
      <c r="G185">
        <f t="shared" si="4"/>
        <v>0</v>
      </c>
      <c r="H185">
        <f t="shared" si="5"/>
        <v>276.34930260764094</v>
      </c>
      <c r="I185">
        <f t="shared" si="6"/>
        <v>0</v>
      </c>
      <c r="J185">
        <f t="shared" si="7"/>
        <v>0</v>
      </c>
      <c r="K185"/>
      <c r="L185" s="66">
        <v>2008</v>
      </c>
      <c r="M185" s="66"/>
      <c r="N185" s="66"/>
      <c r="O185" s="66">
        <v>276.34930260764094</v>
      </c>
      <c r="P185" s="66"/>
      <c r="Q185" s="66"/>
      <c r="R185" s="168">
        <v>2008</v>
      </c>
      <c r="S185" s="104">
        <f t="shared" si="8"/>
        <v>276.34930260764094</v>
      </c>
      <c r="U185">
        <f>ASIC!I7</f>
        <v>130</v>
      </c>
      <c r="V185" s="70">
        <f>ASIC!D7</f>
        <v>2008</v>
      </c>
      <c r="W185" s="73" t="b">
        <f>IF(ASIC!H7=Data!W$180,ASIC!V7*(0.7^AB185)/(ASIC!L7^2))</f>
        <v>0</v>
      </c>
      <c r="X185" s="73" t="b">
        <f>IF(ASIC!H7=Data!X$180,ASIC!V7*(0.7^AB185)/(ASIC!L7^2))</f>
        <v>0</v>
      </c>
      <c r="Y185" s="73">
        <f>IF(ASIC!H7=Data!Y$180,ASIC!V7*(0.7^AB185)/(ASIC!L7^2))</f>
        <v>0.15630509999999995</v>
      </c>
      <c r="Z185" s="73" t="b">
        <f>IF(ASIC!H7=Data!Z$180,ASIC!V7*(0.7^AB185)/(ASIC!L7^2))</f>
        <v>0</v>
      </c>
      <c r="AA185" s="73" t="b">
        <f>IF(ASIC!H7=Data!AA$180,ASIC!V7*(0.7^AB185)/(ASIC!L7^2))</f>
        <v>0</v>
      </c>
      <c r="AB185">
        <v>5</v>
      </c>
    </row>
    <row r="186" spans="1:28" x14ac:dyDescent="0.3">
      <c r="B186" s="68">
        <f>ASIC!D8</f>
        <v>2008</v>
      </c>
      <c r="C186" s="68">
        <f>ASIC!I8</f>
        <v>130</v>
      </c>
      <c r="D186" s="68">
        <v>2</v>
      </c>
      <c r="E186" s="68">
        <f>ASIC!L8</f>
        <v>1</v>
      </c>
      <c r="F186">
        <f t="shared" si="3"/>
        <v>0</v>
      </c>
      <c r="G186">
        <f t="shared" si="4"/>
        <v>0</v>
      </c>
      <c r="H186">
        <f t="shared" si="5"/>
        <v>276.34930260764094</v>
      </c>
      <c r="I186">
        <f t="shared" si="6"/>
        <v>0</v>
      </c>
      <c r="J186">
        <f t="shared" si="7"/>
        <v>0</v>
      </c>
      <c r="K186"/>
      <c r="L186" s="66">
        <v>2008</v>
      </c>
      <c r="M186" s="66"/>
      <c r="N186" s="66"/>
      <c r="O186" s="66">
        <v>276.34930260764094</v>
      </c>
      <c r="P186" s="66"/>
      <c r="Q186" s="66"/>
      <c r="R186" s="168">
        <v>2008</v>
      </c>
      <c r="S186" s="104">
        <f t="shared" si="8"/>
        <v>276.34930260764094</v>
      </c>
      <c r="U186">
        <f>ASIC!I8</f>
        <v>130</v>
      </c>
      <c r="V186" s="70">
        <f>ASIC!D8</f>
        <v>2008</v>
      </c>
      <c r="W186" s="73" t="b">
        <f>IF(ASIC!H8=Data!W$180,ASIC!V8*(0.7^AB186)/(ASIC!L8^2))</f>
        <v>0</v>
      </c>
      <c r="X186" s="73" t="b">
        <f>IF(ASIC!H8=Data!X$180,ASIC!V8*(0.7^AB186)/(ASIC!L8^2))</f>
        <v>0</v>
      </c>
      <c r="Y186" s="73">
        <f>IF(ASIC!H8=Data!Y$180,ASIC!V8*(0.7^AB186)/(ASIC!L8^2))</f>
        <v>0.15630509999999995</v>
      </c>
      <c r="Z186" s="73" t="b">
        <f>IF(ASIC!H8=Data!Z$180,ASIC!V8*(0.7^AB186)/(ASIC!L8^2))</f>
        <v>0</v>
      </c>
      <c r="AA186" s="73" t="b">
        <f>IF(ASIC!H8=Data!AA$180,ASIC!V8*(0.7^AB186)/(ASIC!L8^2))</f>
        <v>0</v>
      </c>
      <c r="AB186">
        <v>5</v>
      </c>
    </row>
    <row r="187" spans="1:28" x14ac:dyDescent="0.3">
      <c r="B187" s="68">
        <f>ASIC!D9</f>
        <v>2008</v>
      </c>
      <c r="C187" s="68">
        <f>ASIC!I9</f>
        <v>90</v>
      </c>
      <c r="D187" s="68">
        <v>1</v>
      </c>
      <c r="E187" s="68">
        <f>ASIC!L9</f>
        <v>0.6</v>
      </c>
      <c r="F187">
        <f t="shared" si="3"/>
        <v>46061.165015834515</v>
      </c>
      <c r="G187">
        <f t="shared" si="4"/>
        <v>0</v>
      </c>
      <c r="H187">
        <f t="shared" si="5"/>
        <v>0</v>
      </c>
      <c r="I187">
        <f t="shared" si="6"/>
        <v>0</v>
      </c>
      <c r="J187">
        <f t="shared" si="7"/>
        <v>0</v>
      </c>
      <c r="K187"/>
      <c r="L187" s="66">
        <v>2008</v>
      </c>
      <c r="M187" s="66">
        <v>46061.165015834515</v>
      </c>
      <c r="N187" s="66"/>
      <c r="O187" s="66"/>
      <c r="P187" s="66"/>
      <c r="Q187" s="66"/>
      <c r="R187" s="168">
        <v>2008</v>
      </c>
      <c r="S187" s="104">
        <f t="shared" si="8"/>
        <v>46061.165015834515</v>
      </c>
      <c r="U187">
        <f>ASIC!I9</f>
        <v>90</v>
      </c>
      <c r="V187" s="70">
        <f>ASIC!D9</f>
        <v>2008</v>
      </c>
      <c r="W187" s="73">
        <f>IF(ASIC!H9=Data!W$180,ASIC!V9*(0.7^AB187)/(ASIC!L9^2))</f>
        <v>26.052517361111104</v>
      </c>
      <c r="X187" s="73" t="b">
        <f>IF(ASIC!H9=Data!X$180,ASIC!V9*(0.7^AB187)/(ASIC!L9^2))</f>
        <v>0</v>
      </c>
      <c r="Y187" s="73" t="b">
        <f>IF(ASIC!H9=Data!Y$180,ASIC!V9*(0.7^AB187)/(ASIC!L9^2))</f>
        <v>0</v>
      </c>
      <c r="Z187" s="73" t="b">
        <f>IF(ASIC!H9=Data!Z$180,ASIC!V9*(0.7^AB187)/(ASIC!L9^2))</f>
        <v>0</v>
      </c>
      <c r="AA187" s="73" t="b">
        <f>IF(ASIC!H9=Data!AA$180,ASIC!V9*(0.7^AB187)/(ASIC!L9^2))</f>
        <v>0</v>
      </c>
      <c r="AB187">
        <v>4</v>
      </c>
    </row>
    <row r="188" spans="1:28" x14ac:dyDescent="0.3">
      <c r="B188" s="68">
        <f>ASIC!D10</f>
        <v>2009</v>
      </c>
      <c r="C188" s="68">
        <f>ASIC!I10</f>
        <v>90</v>
      </c>
      <c r="D188" s="68">
        <v>1</v>
      </c>
      <c r="E188" s="68">
        <f>ASIC!L10</f>
        <v>0.6</v>
      </c>
      <c r="F188">
        <f t="shared" si="3"/>
        <v>58344.142353390373</v>
      </c>
      <c r="G188">
        <f t="shared" si="4"/>
        <v>0</v>
      </c>
      <c r="H188">
        <f t="shared" si="5"/>
        <v>0</v>
      </c>
      <c r="I188">
        <f t="shared" si="6"/>
        <v>0</v>
      </c>
      <c r="J188">
        <f t="shared" si="7"/>
        <v>0</v>
      </c>
      <c r="K188"/>
      <c r="L188" s="66">
        <v>2009</v>
      </c>
      <c r="M188" s="66">
        <v>58344.142353390373</v>
      </c>
      <c r="N188" s="66"/>
      <c r="O188" s="66"/>
      <c r="P188" s="66"/>
      <c r="Q188" s="66"/>
      <c r="R188" s="168">
        <v>2009</v>
      </c>
      <c r="S188" s="104">
        <f t="shared" si="8"/>
        <v>58344.142353390373</v>
      </c>
      <c r="U188">
        <f>ASIC!I10</f>
        <v>90</v>
      </c>
      <c r="V188" s="70">
        <f>ASIC!D10</f>
        <v>2009</v>
      </c>
      <c r="W188" s="73">
        <f>IF(ASIC!H10=Data!W$180,ASIC!V10*(0.7^AB188)/(ASIC!L10^2))</f>
        <v>32.999855324074062</v>
      </c>
      <c r="X188" s="73" t="b">
        <f>IF(ASIC!H10=Data!X$180,ASIC!V10*(0.7^AB188)/(ASIC!L10^2))</f>
        <v>0</v>
      </c>
      <c r="Y188" s="73" t="b">
        <f>IF(ASIC!H10=Data!Y$180,ASIC!V10*(0.7^AB188)/(ASIC!L10^2))</f>
        <v>0</v>
      </c>
      <c r="Z188" s="73" t="b">
        <f>IF(ASIC!H10=Data!Z$180,ASIC!V10*(0.7^AB188)/(ASIC!L10^2))</f>
        <v>0</v>
      </c>
      <c r="AA188" s="73" t="b">
        <f>IF(ASIC!H10=Data!AA$180,ASIC!V10*(0.7^AB188)/(ASIC!L10^2))</f>
        <v>0</v>
      </c>
      <c r="AB188">
        <v>4</v>
      </c>
    </row>
    <row r="189" spans="1:28" x14ac:dyDescent="0.3">
      <c r="B189" s="68">
        <f>ASIC!D11</f>
        <v>2010</v>
      </c>
      <c r="C189" s="68">
        <f>ASIC!I11</f>
        <v>65</v>
      </c>
      <c r="D189" s="68">
        <v>0</v>
      </c>
      <c r="E189" s="68">
        <f>ASIC!L11</f>
        <v>1.1000000000000001</v>
      </c>
      <c r="F189">
        <f t="shared" si="3"/>
        <v>170.40129504984233</v>
      </c>
      <c r="G189">
        <f t="shared" si="4"/>
        <v>0</v>
      </c>
      <c r="H189">
        <f t="shared" si="5"/>
        <v>0</v>
      </c>
      <c r="I189">
        <f t="shared" si="6"/>
        <v>0</v>
      </c>
      <c r="J189">
        <f t="shared" si="7"/>
        <v>0</v>
      </c>
      <c r="K189"/>
      <c r="L189" s="66">
        <v>2010</v>
      </c>
      <c r="M189" s="66">
        <v>170.40129504984233</v>
      </c>
      <c r="N189" s="66"/>
      <c r="O189" s="66"/>
      <c r="P189" s="66"/>
      <c r="Q189" s="66"/>
      <c r="R189" s="168">
        <v>2010</v>
      </c>
      <c r="S189" s="104">
        <f t="shared" si="8"/>
        <v>170.40129504984233</v>
      </c>
      <c r="U189">
        <f>ASIC!I11</f>
        <v>65</v>
      </c>
      <c r="V189" s="70">
        <f>ASIC!D11</f>
        <v>2010</v>
      </c>
      <c r="W189" s="73">
        <f>IF(ASIC!H11=Data!W$180,ASIC!V11*(0.7^AB189)/(ASIC!L11^2))</f>
        <v>9.6380165289256164E-2</v>
      </c>
      <c r="X189" s="73" t="b">
        <f>IF(ASIC!H11=Data!X$180,ASIC!V11*(0.7^AB189)/(ASIC!L11^2))</f>
        <v>0</v>
      </c>
      <c r="Y189" s="73" t="b">
        <f>IF(ASIC!H11=Data!Y$180,ASIC!V11*(0.7^AB189)/(ASIC!L11^2))</f>
        <v>0</v>
      </c>
      <c r="Z189" s="73" t="b">
        <f>IF(ASIC!H11=Data!Z$180,ASIC!V11*(0.7^AB189)/(ASIC!L11^2))</f>
        <v>0</v>
      </c>
      <c r="AA189" s="73" t="b">
        <f>IF(ASIC!H11=Data!AA$180,ASIC!V11*(0.7^AB189)/(ASIC!L11^2))</f>
        <v>0</v>
      </c>
      <c r="AB189">
        <v>3</v>
      </c>
    </row>
    <row r="190" spans="1:28" x14ac:dyDescent="0.3">
      <c r="B190" s="68">
        <f>ASIC!D12</f>
        <v>2011</v>
      </c>
      <c r="C190" s="68">
        <f>ASIC!I12</f>
        <v>90</v>
      </c>
      <c r="D190" s="70">
        <v>0</v>
      </c>
      <c r="E190" s="68" t="str">
        <f>ASIC!L12</f>
        <v>N/A</v>
      </c>
      <c r="F190" t="e">
        <f t="shared" si="3"/>
        <v>#VALUE!</v>
      </c>
      <c r="G190" t="e">
        <f t="shared" si="4"/>
        <v>#VALUE!</v>
      </c>
      <c r="H190" t="e">
        <f t="shared" si="5"/>
        <v>#VALUE!</v>
      </c>
      <c r="I190" t="e">
        <f t="shared" si="6"/>
        <v>#VALUE!</v>
      </c>
      <c r="J190" t="e">
        <f t="shared" si="7"/>
        <v>#VALUE!</v>
      </c>
      <c r="K190"/>
      <c r="L190" s="66">
        <v>2011</v>
      </c>
      <c r="M190" s="66"/>
      <c r="N190" s="66"/>
      <c r="O190" s="66"/>
      <c r="P190" s="66"/>
      <c r="Q190" s="66"/>
      <c r="R190" s="168">
        <v>2011</v>
      </c>
      <c r="S190" s="104"/>
      <c r="U190">
        <f>ASIC!I12</f>
        <v>90</v>
      </c>
      <c r="V190" s="70">
        <f>ASIC!D12</f>
        <v>2011</v>
      </c>
      <c r="W190" s="73" t="b">
        <f>IF(ASIC!H12=Data!W$180,ASIC!V12*(0.7^AB190)/(ASIC!L12^2))</f>
        <v>0</v>
      </c>
      <c r="X190" s="73" t="b">
        <f>IF(ASIC!H12=Data!X$180,ASIC!V12*(0.7^AB190)/(ASIC!L12^2))</f>
        <v>0</v>
      </c>
      <c r="Y190" s="73" t="e">
        <f>IF(ASIC!H12=Data!Y$180,ASIC!V12*(0.7^AB190)/(ASIC!L12^2))</f>
        <v>#VALUE!</v>
      </c>
      <c r="Z190" s="73" t="b">
        <f>IF(ASIC!H12=Data!Z$180,ASIC!V12*(0.7^AB190)/(ASIC!L12^2))</f>
        <v>0</v>
      </c>
      <c r="AA190" s="73" t="b">
        <f>IF(ASIC!H12=Data!AA$180,ASIC!V12*(0.7^AB190)/(ASIC!L12^2))</f>
        <v>0</v>
      </c>
      <c r="AB190">
        <v>4</v>
      </c>
    </row>
    <row r="191" spans="1:28" x14ac:dyDescent="0.3">
      <c r="B191" s="68">
        <f>ASIC!D13</f>
        <v>2011</v>
      </c>
      <c r="C191" s="68">
        <f>ASIC!I13</f>
        <v>90</v>
      </c>
      <c r="D191" s="70">
        <v>0</v>
      </c>
      <c r="E191" s="68">
        <f>ASIC!L13</f>
        <v>0.6</v>
      </c>
      <c r="F191">
        <f t="shared" ref="F191:F208" si="9">M133*(0.7)^D191/(E191^2)/$E$242</f>
        <v>83348.774790557683</v>
      </c>
      <c r="G191">
        <f t="shared" ref="G191:G208" si="10">N133*(0.7)^D191/(E191^2)/$E$242</f>
        <v>0</v>
      </c>
      <c r="H191">
        <f t="shared" ref="H191:H208" si="11">O133*(0.7)^D191/(E191^2)/$E$242</f>
        <v>0</v>
      </c>
      <c r="I191">
        <f t="shared" ref="I191:I208" si="12">P133*(0.7)^D191/(E191^2)/$E$242</f>
        <v>0</v>
      </c>
      <c r="J191">
        <f t="shared" ref="J191:J208" si="13">Q133*(0.7)^D191/(E191^2)/$E$242</f>
        <v>0</v>
      </c>
      <c r="K191"/>
      <c r="L191" s="66">
        <v>2011</v>
      </c>
      <c r="M191" s="66">
        <v>83348.774790557683</v>
      </c>
      <c r="N191" s="66"/>
      <c r="O191" s="66"/>
      <c r="P191" s="66"/>
      <c r="Q191" s="66"/>
      <c r="R191" s="168">
        <v>2011</v>
      </c>
      <c r="S191" s="104">
        <f t="shared" si="8"/>
        <v>83348.774790557683</v>
      </c>
      <c r="U191">
        <f>ASIC!I13</f>
        <v>90</v>
      </c>
      <c r="V191" s="70">
        <f>ASIC!D13</f>
        <v>2011</v>
      </c>
      <c r="W191" s="73">
        <f>IF(ASIC!H13=Data!W$180,ASIC!V13*(0.7^AB191)/(ASIC!L13^2))</f>
        <v>32.999855324074062</v>
      </c>
      <c r="X191" s="73" t="b">
        <f>IF(ASIC!H13=Data!X$180,ASIC!V13*(0.7^AB191)/(ASIC!L13^2))</f>
        <v>0</v>
      </c>
      <c r="Y191" s="73" t="b">
        <f>IF(ASIC!H13=Data!Y$180,ASIC!V13*(0.7^AB191)/(ASIC!L13^2))</f>
        <v>0</v>
      </c>
      <c r="Z191" s="73" t="b">
        <f>IF(ASIC!H13=Data!Z$180,ASIC!V13*(0.7^AB191)/(ASIC!L13^2))</f>
        <v>0</v>
      </c>
      <c r="AA191" s="73" t="b">
        <f>IF(ASIC!H13=Data!AA$180,ASIC!V13*(0.7^AB191)/(ASIC!L13^2))</f>
        <v>0</v>
      </c>
      <c r="AB191">
        <v>4</v>
      </c>
    </row>
    <row r="192" spans="1:28" x14ac:dyDescent="0.3">
      <c r="B192" s="68">
        <f>ASIC!D14</f>
        <v>2011</v>
      </c>
      <c r="C192" s="68">
        <f>ASIC!I14</f>
        <v>90</v>
      </c>
      <c r="D192" s="70">
        <v>0</v>
      </c>
      <c r="E192" s="68">
        <f>ASIC!L14</f>
        <v>1</v>
      </c>
      <c r="F192">
        <f t="shared" si="9"/>
        <v>0</v>
      </c>
      <c r="G192">
        <f t="shared" si="10"/>
        <v>0</v>
      </c>
      <c r="H192">
        <f t="shared" si="11"/>
        <v>0</v>
      </c>
      <c r="I192">
        <f t="shared" si="12"/>
        <v>0</v>
      </c>
      <c r="J192">
        <f t="shared" si="13"/>
        <v>0</v>
      </c>
      <c r="K192"/>
      <c r="L192" s="66">
        <v>2011</v>
      </c>
      <c r="M192" s="66"/>
      <c r="N192" s="66"/>
      <c r="O192" s="66"/>
      <c r="P192" s="66"/>
      <c r="Q192" s="66"/>
      <c r="R192" s="168">
        <v>2011</v>
      </c>
      <c r="S192" s="104"/>
      <c r="U192">
        <f>ASIC!I14</f>
        <v>90</v>
      </c>
      <c r="V192" s="70">
        <f>ASIC!D14</f>
        <v>2011</v>
      </c>
      <c r="W192" s="73" t="b">
        <f>IF(ASIC!H14=Data!W$180,ASIC!V14*(0.7^AB192)/(ASIC!L14^2))</f>
        <v>0</v>
      </c>
      <c r="X192" s="73" t="b">
        <f>IF(ASIC!H14=Data!X$180,ASIC!V14*(0.7^AB192)/(ASIC!L14^2))</f>
        <v>0</v>
      </c>
      <c r="Y192" s="73" t="b">
        <f>IF(ASIC!H14=Data!Y$180,ASIC!V14*(0.7^AB192)/(ASIC!L14^2))</f>
        <v>0</v>
      </c>
      <c r="Z192" s="73" t="e">
        <f>IF(ASIC!H14=Data!Z$180,ASIC!V14*(0.7^AB192)/(ASIC!L14^2))</f>
        <v>#VALUE!</v>
      </c>
      <c r="AA192" s="73" t="b">
        <f>IF(ASIC!H14=Data!AA$180,ASIC!V14*(0.7^AB192)/(ASIC!L14^2))</f>
        <v>0</v>
      </c>
      <c r="AB192">
        <v>4</v>
      </c>
    </row>
    <row r="193" spans="2:28" x14ac:dyDescent="0.3">
      <c r="B193" s="68">
        <f>ASIC!D15</f>
        <v>2012</v>
      </c>
      <c r="C193" s="68">
        <f>ASIC!I15</f>
        <v>65</v>
      </c>
      <c r="D193" s="70">
        <v>0</v>
      </c>
      <c r="E193" s="68" t="str">
        <f>ASIC!L15</f>
        <v>N/A</v>
      </c>
      <c r="F193" t="e">
        <f t="shared" si="9"/>
        <v>#VALUE!</v>
      </c>
      <c r="G193" t="e">
        <f t="shared" si="10"/>
        <v>#VALUE!</v>
      </c>
      <c r="H193" t="e">
        <f t="shared" si="11"/>
        <v>#VALUE!</v>
      </c>
      <c r="I193" t="e">
        <f t="shared" si="12"/>
        <v>#VALUE!</v>
      </c>
      <c r="J193" t="e">
        <f t="shared" si="13"/>
        <v>#VALUE!</v>
      </c>
      <c r="K193"/>
      <c r="L193" s="66">
        <v>2012</v>
      </c>
      <c r="M193" s="66"/>
      <c r="N193" s="66"/>
      <c r="O193" s="66"/>
      <c r="P193" s="66"/>
      <c r="Q193" s="66"/>
      <c r="R193" s="168">
        <v>2012</v>
      </c>
      <c r="S193" s="104"/>
      <c r="U193">
        <f>ASIC!I15</f>
        <v>65</v>
      </c>
      <c r="V193" s="70">
        <f>ASIC!D15</f>
        <v>2012</v>
      </c>
      <c r="W193" s="73" t="b">
        <f>IF(ASIC!H15=Data!W$180,ASIC!V15*(0.7^AB193)/(ASIC!L15^2))</f>
        <v>0</v>
      </c>
      <c r="X193" s="73" t="b">
        <f>IF(ASIC!H15=Data!X$180,ASIC!V15*(0.7^AB193)/(ASIC!L15^2))</f>
        <v>0</v>
      </c>
      <c r="Y193" s="73" t="e">
        <f>IF(ASIC!H15=Data!Y$180,ASIC!V15*(0.7^AB193)/(ASIC!L15^2))</f>
        <v>#VALUE!</v>
      </c>
      <c r="Z193" s="73" t="b">
        <f>IF(ASIC!H15=Data!Z$180,ASIC!V15*(0.7^AB193)/(ASIC!L15^2))</f>
        <v>0</v>
      </c>
      <c r="AA193" s="73" t="b">
        <f>IF(ASIC!H15=Data!AA$180,ASIC!V15*(0.7^AB193)/(ASIC!L15^2))</f>
        <v>0</v>
      </c>
      <c r="AB193">
        <v>3</v>
      </c>
    </row>
    <row r="194" spans="2:28" x14ac:dyDescent="0.3">
      <c r="B194" s="68">
        <f>ASIC!D16</f>
        <v>2012</v>
      </c>
      <c r="C194" s="68">
        <f>ASIC!I16</f>
        <v>65</v>
      </c>
      <c r="D194" s="70">
        <v>0</v>
      </c>
      <c r="E194" s="68">
        <f>ASIC!L16</f>
        <v>1.2</v>
      </c>
      <c r="F194">
        <f t="shared" si="9"/>
        <v>0</v>
      </c>
      <c r="G194">
        <f t="shared" si="10"/>
        <v>0</v>
      </c>
      <c r="H194">
        <f t="shared" si="11"/>
        <v>0</v>
      </c>
      <c r="I194">
        <f t="shared" si="12"/>
        <v>0</v>
      </c>
      <c r="J194">
        <f t="shared" si="13"/>
        <v>0</v>
      </c>
      <c r="K194"/>
      <c r="L194" s="66">
        <v>2012</v>
      </c>
      <c r="M194" s="66"/>
      <c r="N194" s="66"/>
      <c r="O194" s="66"/>
      <c r="P194" s="66"/>
      <c r="Q194" s="66"/>
      <c r="R194" s="168">
        <v>2012</v>
      </c>
      <c r="S194" s="104"/>
      <c r="U194">
        <f>ASIC!I16</f>
        <v>65</v>
      </c>
      <c r="V194" s="70">
        <f>ASIC!D16</f>
        <v>2012</v>
      </c>
      <c r="W194" s="73" t="b">
        <f>IF(ASIC!H16=Data!W$180,ASIC!V16*(0.7^AB194)/(ASIC!L16^2))</f>
        <v>0</v>
      </c>
      <c r="X194" s="73" t="b">
        <f>IF(ASIC!H16=Data!X$180,ASIC!V16*(0.7^AB194)/(ASIC!L16^2))</f>
        <v>0</v>
      </c>
      <c r="Y194" s="73" t="e">
        <f>IF(ASIC!H16=Data!Y$180,ASIC!V16*(0.7^AB194)/(ASIC!L16^2))</f>
        <v>#VALUE!</v>
      </c>
      <c r="Z194" s="73" t="b">
        <f>IF(ASIC!H16=Data!Z$180,ASIC!V16*(0.7^AB194)/(ASIC!L16^2))</f>
        <v>0</v>
      </c>
      <c r="AA194" s="73" t="b">
        <f>IF(ASIC!H16=Data!AA$180,ASIC!V16*(0.7^AB194)/(ASIC!L16^2))</f>
        <v>0</v>
      </c>
      <c r="AB194">
        <v>3</v>
      </c>
    </row>
    <row r="195" spans="2:28" x14ac:dyDescent="0.3">
      <c r="B195" s="68">
        <f>ASIC!D17</f>
        <v>2012</v>
      </c>
      <c r="C195" s="68">
        <f>ASIC!I17</f>
        <v>65</v>
      </c>
      <c r="D195" s="70">
        <v>0</v>
      </c>
      <c r="E195" s="68">
        <f>ASIC!L17</f>
        <v>1.2</v>
      </c>
      <c r="F195">
        <f t="shared" si="9"/>
        <v>0</v>
      </c>
      <c r="G195">
        <f t="shared" si="10"/>
        <v>0</v>
      </c>
      <c r="H195">
        <f t="shared" si="11"/>
        <v>0</v>
      </c>
      <c r="I195">
        <f t="shared" si="12"/>
        <v>0</v>
      </c>
      <c r="J195">
        <f t="shared" si="13"/>
        <v>0</v>
      </c>
      <c r="K195"/>
      <c r="L195" s="66">
        <v>2012</v>
      </c>
      <c r="M195" s="66"/>
      <c r="N195" s="66"/>
      <c r="O195" s="66"/>
      <c r="P195" s="66"/>
      <c r="Q195" s="66"/>
      <c r="R195" s="168">
        <v>2012</v>
      </c>
      <c r="S195" s="104"/>
      <c r="U195">
        <f>ASIC!I17</f>
        <v>65</v>
      </c>
      <c r="V195" s="70">
        <f>ASIC!D17</f>
        <v>2012</v>
      </c>
      <c r="W195" s="73" t="b">
        <f>IF(ASIC!H17=Data!W$180,ASIC!V17*(0.7^AB195)/(ASIC!L17^2))</f>
        <v>0</v>
      </c>
      <c r="X195" s="73" t="e">
        <f>IF(ASIC!H17=Data!X$180,ASIC!V17*(0.7^AB195)/(ASIC!L17^2))</f>
        <v>#VALUE!</v>
      </c>
      <c r="Y195" s="73" t="b">
        <f>IF(ASIC!H17=Data!Y$180,ASIC!V17*(0.7^AB195)/(ASIC!L17^2))</f>
        <v>0</v>
      </c>
      <c r="Z195" s="73" t="b">
        <f>IF(ASIC!H17=Data!Z$180,ASIC!V17*(0.7^AB195)/(ASIC!L17^2))</f>
        <v>0</v>
      </c>
      <c r="AA195" s="73" t="b">
        <f>IF(ASIC!H17=Data!AA$180,ASIC!V17*(0.7^AB195)/(ASIC!L17^2))</f>
        <v>0</v>
      </c>
      <c r="AB195">
        <v>3</v>
      </c>
    </row>
    <row r="196" spans="2:28" x14ac:dyDescent="0.3">
      <c r="B196" s="68">
        <f>ASIC!D18</f>
        <v>2012</v>
      </c>
      <c r="C196" s="68">
        <f>ASIC!I18</f>
        <v>65</v>
      </c>
      <c r="D196" s="68">
        <v>0</v>
      </c>
      <c r="E196" s="68">
        <f>ASIC!L18</f>
        <v>1.2</v>
      </c>
      <c r="F196">
        <f t="shared" si="9"/>
        <v>0</v>
      </c>
      <c r="G196">
        <f t="shared" si="10"/>
        <v>0</v>
      </c>
      <c r="H196">
        <f t="shared" si="11"/>
        <v>0</v>
      </c>
      <c r="I196">
        <f t="shared" si="12"/>
        <v>0</v>
      </c>
      <c r="J196">
        <f t="shared" si="13"/>
        <v>0</v>
      </c>
      <c r="K196"/>
      <c r="L196" s="66">
        <v>2012</v>
      </c>
      <c r="M196" s="66"/>
      <c r="N196" s="66"/>
      <c r="O196" s="66"/>
      <c r="P196" s="66"/>
      <c r="Q196" s="66"/>
      <c r="R196" s="168">
        <v>2012</v>
      </c>
      <c r="S196" s="104"/>
      <c r="U196">
        <f>ASIC!I18</f>
        <v>65</v>
      </c>
      <c r="V196" s="70">
        <f>ASIC!D18</f>
        <v>2012</v>
      </c>
      <c r="W196" s="73" t="b">
        <f>IF(ASIC!H18=Data!W$180,ASIC!V18*(0.7^AB196)/(ASIC!L18^2))</f>
        <v>0</v>
      </c>
      <c r="X196" s="73" t="b">
        <f>IF(ASIC!H18=Data!X$180,ASIC!V18*(0.7^AB196)/(ASIC!L18^2))</f>
        <v>0</v>
      </c>
      <c r="Y196" s="73" t="e">
        <f>IF(ASIC!H18=Data!Y$180,ASIC!V18*(0.7^AB196)/(ASIC!L18^2))</f>
        <v>#VALUE!</v>
      </c>
      <c r="Z196" s="73" t="b">
        <f>IF(ASIC!H18=Data!Z$180,ASIC!V18*(0.7^AB196)/(ASIC!L18^2))</f>
        <v>0</v>
      </c>
      <c r="AA196" s="73" t="b">
        <f>IF(ASIC!H18=Data!AA$180,ASIC!V18*(0.7^AB196)/(ASIC!L18^2))</f>
        <v>0</v>
      </c>
      <c r="AB196">
        <v>3</v>
      </c>
    </row>
    <row r="197" spans="2:28" x14ac:dyDescent="0.3">
      <c r="B197" s="68">
        <f>ASIC!D19</f>
        <v>2012</v>
      </c>
      <c r="C197" s="68">
        <f>ASIC!I19</f>
        <v>65</v>
      </c>
      <c r="D197" s="68">
        <v>0</v>
      </c>
      <c r="E197" s="68">
        <f>ASIC!L19</f>
        <v>1.2</v>
      </c>
      <c r="F197">
        <f t="shared" si="9"/>
        <v>0</v>
      </c>
      <c r="G197">
        <f t="shared" si="10"/>
        <v>0</v>
      </c>
      <c r="H197">
        <f t="shared" si="11"/>
        <v>0</v>
      </c>
      <c r="I197">
        <f t="shared" si="12"/>
        <v>0</v>
      </c>
      <c r="J197">
        <f t="shared" si="13"/>
        <v>0</v>
      </c>
      <c r="K197"/>
      <c r="L197" s="66">
        <v>2012</v>
      </c>
      <c r="M197" s="66"/>
      <c r="N197" s="66"/>
      <c r="O197" s="66"/>
      <c r="P197" s="66"/>
      <c r="Q197" s="66"/>
      <c r="R197" s="168">
        <v>2012</v>
      </c>
      <c r="S197" s="104"/>
      <c r="U197">
        <f>ASIC!I19</f>
        <v>65</v>
      </c>
      <c r="V197" s="70">
        <f>ASIC!D19</f>
        <v>2012</v>
      </c>
      <c r="W197" s="73" t="b">
        <f>IF(ASIC!H19=Data!W$180,ASIC!V19*(0.7^AB197)/(ASIC!L19^2))</f>
        <v>0</v>
      </c>
      <c r="X197" s="73" t="b">
        <f>IF(ASIC!H19=Data!X$180,ASIC!V19*(0.7^AB197)/(ASIC!L19^2))</f>
        <v>0</v>
      </c>
      <c r="Y197" s="73" t="e">
        <f>IF(ASIC!H19=Data!Y$180,ASIC!V19*(0.7^AB197)/(ASIC!L19^2))</f>
        <v>#VALUE!</v>
      </c>
      <c r="Z197" s="73" t="b">
        <f>IF(ASIC!H19=Data!Z$180,ASIC!V19*(0.7^AB197)/(ASIC!L19^2))</f>
        <v>0</v>
      </c>
      <c r="AA197" s="73" t="b">
        <f>IF(ASIC!H19=Data!AA$180,ASIC!V19*(0.7^AB197)/(ASIC!L19^2))</f>
        <v>0</v>
      </c>
      <c r="AB197">
        <v>3</v>
      </c>
    </row>
    <row r="198" spans="2:28" x14ac:dyDescent="0.3">
      <c r="B198" s="68">
        <f>ASIC!D20</f>
        <v>2012</v>
      </c>
      <c r="C198" s="68">
        <f>ASIC!I20</f>
        <v>65</v>
      </c>
      <c r="D198" s="68">
        <v>0</v>
      </c>
      <c r="E198" s="68">
        <f>ASIC!L20</f>
        <v>1.2</v>
      </c>
      <c r="F198">
        <f t="shared" si="9"/>
        <v>0</v>
      </c>
      <c r="G198">
        <f t="shared" si="10"/>
        <v>0</v>
      </c>
      <c r="H198">
        <f t="shared" si="11"/>
        <v>0</v>
      </c>
      <c r="I198">
        <f t="shared" si="12"/>
        <v>0</v>
      </c>
      <c r="J198">
        <f t="shared" si="13"/>
        <v>0</v>
      </c>
      <c r="K198"/>
      <c r="L198" s="66">
        <v>2012</v>
      </c>
      <c r="M198" s="66"/>
      <c r="N198" s="66"/>
      <c r="O198" s="66"/>
      <c r="P198" s="66"/>
      <c r="Q198" s="66"/>
      <c r="R198" s="168">
        <v>2012</v>
      </c>
      <c r="S198" s="104"/>
      <c r="U198">
        <f>ASIC!I20</f>
        <v>65</v>
      </c>
      <c r="V198" s="70">
        <f>ASIC!D20</f>
        <v>2012</v>
      </c>
      <c r="W198" s="73" t="b">
        <f>IF(ASIC!H20=Data!W$180,ASIC!V20*(0.7^AB198)/(ASIC!L20^2))</f>
        <v>0</v>
      </c>
      <c r="X198" s="73" t="b">
        <f>IF(ASIC!H20=Data!X$180,ASIC!V20*(0.7^AB198)/(ASIC!L20^2))</f>
        <v>0</v>
      </c>
      <c r="Y198" s="73" t="e">
        <f>IF(ASIC!H20=Data!Y$180,ASIC!V20*(0.7^AB198)/(ASIC!L20^2))</f>
        <v>#VALUE!</v>
      </c>
      <c r="Z198" s="73" t="b">
        <f>IF(ASIC!H20=Data!Z$180,ASIC!V20*(0.7^AB198)/(ASIC!L20^2))</f>
        <v>0</v>
      </c>
      <c r="AA198" s="73" t="b">
        <f>IF(ASIC!H20=Data!AA$180,ASIC!V20*(0.7^AB198)/(ASIC!L20^2))</f>
        <v>0</v>
      </c>
      <c r="AB198">
        <v>3</v>
      </c>
    </row>
    <row r="199" spans="2:28" x14ac:dyDescent="0.3">
      <c r="B199" s="68">
        <f>ASIC!D21</f>
        <v>2012</v>
      </c>
      <c r="C199" s="68">
        <f>ASIC!I21</f>
        <v>65</v>
      </c>
      <c r="D199" s="68">
        <v>0</v>
      </c>
      <c r="E199" s="68">
        <f>ASIC!L21</f>
        <v>1.2</v>
      </c>
      <c r="F199">
        <f t="shared" si="9"/>
        <v>0</v>
      </c>
      <c r="G199">
        <f t="shared" si="10"/>
        <v>0</v>
      </c>
      <c r="H199">
        <f t="shared" si="11"/>
        <v>0</v>
      </c>
      <c r="I199">
        <f t="shared" si="12"/>
        <v>0</v>
      </c>
      <c r="J199">
        <f t="shared" si="13"/>
        <v>0</v>
      </c>
      <c r="K199"/>
      <c r="L199" s="66">
        <v>2012</v>
      </c>
      <c r="M199" s="66"/>
      <c r="N199" s="66"/>
      <c r="O199" s="66"/>
      <c r="P199" s="66"/>
      <c r="Q199" s="66"/>
      <c r="R199" s="168">
        <v>2012</v>
      </c>
      <c r="S199" s="104"/>
      <c r="U199">
        <f>ASIC!I21</f>
        <v>65</v>
      </c>
      <c r="V199" s="70">
        <f>ASIC!D21</f>
        <v>2012</v>
      </c>
      <c r="W199" s="73" t="b">
        <f>IF(ASIC!H21=Data!W$180,ASIC!V21*(0.7^AB199)/(ASIC!L21^2))</f>
        <v>0</v>
      </c>
      <c r="X199" s="73" t="e">
        <f>IF(ASIC!H21=Data!X$180,ASIC!V21*(0.7^AB199)/(ASIC!L21^2))</f>
        <v>#VALUE!</v>
      </c>
      <c r="Y199" s="73" t="b">
        <f>IF(ASIC!H21=Data!Y$180,ASIC!V21*(0.7^AB199)/(ASIC!L21^2))</f>
        <v>0</v>
      </c>
      <c r="Z199" s="73" t="b">
        <f>IF(ASIC!H21=Data!Z$180,ASIC!V21*(0.7^AB199)/(ASIC!L21^2))</f>
        <v>0</v>
      </c>
      <c r="AA199" s="73" t="b">
        <f>IF(ASIC!H21=Data!AA$180,ASIC!V21*(0.7^AB199)/(ASIC!L21^2))</f>
        <v>0</v>
      </c>
      <c r="AB199">
        <v>3</v>
      </c>
    </row>
    <row r="200" spans="2:28" x14ac:dyDescent="0.3">
      <c r="B200" s="68">
        <f>ASIC!D22</f>
        <v>2012</v>
      </c>
      <c r="C200" s="68">
        <f>ASIC!I22</f>
        <v>32</v>
      </c>
      <c r="D200" s="68">
        <v>-2</v>
      </c>
      <c r="E200" s="68" t="str">
        <f>ASIC!L22</f>
        <v>N/A</v>
      </c>
      <c r="F200" t="e">
        <f t="shared" si="9"/>
        <v>#VALUE!</v>
      </c>
      <c r="G200" t="e">
        <f t="shared" si="10"/>
        <v>#VALUE!</v>
      </c>
      <c r="H200" t="e">
        <f t="shared" si="11"/>
        <v>#VALUE!</v>
      </c>
      <c r="I200" t="e">
        <f t="shared" si="12"/>
        <v>#VALUE!</v>
      </c>
      <c r="J200" t="e">
        <f t="shared" si="13"/>
        <v>#VALUE!</v>
      </c>
      <c r="K200"/>
      <c r="L200" s="66">
        <v>2012</v>
      </c>
      <c r="M200" s="66"/>
      <c r="N200" s="66"/>
      <c r="O200" s="66"/>
      <c r="P200" s="66"/>
      <c r="Q200" s="66"/>
      <c r="R200" s="168">
        <v>2012</v>
      </c>
      <c r="S200" s="104"/>
      <c r="U200">
        <f>ASIC!I22</f>
        <v>32</v>
      </c>
      <c r="V200" s="70">
        <f>ASIC!D22</f>
        <v>2012</v>
      </c>
      <c r="W200" s="73" t="b">
        <f>IF(ASIC!H22=Data!W$180,ASIC!V22*(0.7^AB200)/(ASIC!L22^2))</f>
        <v>0</v>
      </c>
      <c r="X200" s="73" t="b">
        <f>IF(ASIC!H22=Data!X$180,ASIC!V22*(0.7^AB200)/(ASIC!L22^2))</f>
        <v>0</v>
      </c>
      <c r="Y200" s="73" t="e">
        <f>IF(ASIC!H22=Data!Y$180,ASIC!V22*(0.7^AB200)/(ASIC!L22^2))</f>
        <v>#VALUE!</v>
      </c>
      <c r="Z200" s="73" t="b">
        <f>IF(ASIC!H22=Data!Z$180,ASIC!V22*(0.7^AB200)/(ASIC!L22^2))</f>
        <v>0</v>
      </c>
      <c r="AA200" s="73" t="b">
        <f>IF(ASIC!H22=Data!AA$180,ASIC!V22*(0.7^AB200)/(ASIC!L22^2))</f>
        <v>0</v>
      </c>
      <c r="AB200">
        <v>1</v>
      </c>
    </row>
    <row r="201" spans="2:28" x14ac:dyDescent="0.3">
      <c r="B201" s="68">
        <f>ASIC!D23</f>
        <v>2013</v>
      </c>
      <c r="C201" s="68">
        <f>ASIC!I23</f>
        <v>32</v>
      </c>
      <c r="D201" s="68">
        <v>-2</v>
      </c>
      <c r="E201" s="68">
        <f>ASIC!L23</f>
        <v>0.9</v>
      </c>
      <c r="F201">
        <f t="shared" si="9"/>
        <v>0</v>
      </c>
      <c r="G201">
        <f t="shared" si="10"/>
        <v>0</v>
      </c>
      <c r="H201">
        <f t="shared" si="11"/>
        <v>0</v>
      </c>
      <c r="I201">
        <f t="shared" si="12"/>
        <v>0</v>
      </c>
      <c r="J201">
        <f t="shared" si="13"/>
        <v>0</v>
      </c>
      <c r="K201"/>
      <c r="L201" s="66">
        <v>2013</v>
      </c>
      <c r="M201" s="66"/>
      <c r="N201" s="66"/>
      <c r="O201" s="66"/>
      <c r="P201" s="66"/>
      <c r="Q201" s="66"/>
      <c r="R201" s="168">
        <v>2013</v>
      </c>
      <c r="S201" s="104"/>
      <c r="U201">
        <f>ASIC!I23</f>
        <v>32</v>
      </c>
      <c r="V201" s="70">
        <f>ASIC!D23</f>
        <v>2013</v>
      </c>
      <c r="W201" s="73" t="b">
        <f>IF(ASIC!H23=Data!W$180,ASIC!V23*(0.7^AB201)/(ASIC!L23^2))</f>
        <v>0</v>
      </c>
      <c r="X201" s="73" t="b">
        <f>IF(ASIC!H23=Data!X$180,ASIC!V23*(0.7^AB201)/(ASIC!L23^2))</f>
        <v>0</v>
      </c>
      <c r="Y201" s="73" t="e">
        <f>IF(ASIC!H23=Data!Y$180,ASIC!V23*(0.7^AB201)/(ASIC!L23^2))</f>
        <v>#VALUE!</v>
      </c>
      <c r="Z201" s="73" t="b">
        <f>IF(ASIC!H23=Data!Z$180,ASIC!V23*(0.7^AB201)/(ASIC!L23^2))</f>
        <v>0</v>
      </c>
      <c r="AA201" s="73" t="b">
        <f>IF(ASIC!H23=Data!AA$180,ASIC!V23*(0.7^AB201)/(ASIC!L23^2))</f>
        <v>0</v>
      </c>
      <c r="AB201">
        <v>1</v>
      </c>
    </row>
    <row r="202" spans="2:28" x14ac:dyDescent="0.3">
      <c r="B202" s="68">
        <f>ASIC!D24</f>
        <v>2014</v>
      </c>
      <c r="C202" s="68">
        <f>ASIC!I24</f>
        <v>65</v>
      </c>
      <c r="D202" s="68">
        <v>0</v>
      </c>
      <c r="E202" s="68">
        <f>ASIC!L24</f>
        <v>1.2</v>
      </c>
      <c r="F202">
        <f t="shared" si="9"/>
        <v>0</v>
      </c>
      <c r="G202">
        <f t="shared" si="10"/>
        <v>0</v>
      </c>
      <c r="H202">
        <f t="shared" si="11"/>
        <v>0</v>
      </c>
      <c r="I202">
        <f t="shared" si="12"/>
        <v>0</v>
      </c>
      <c r="J202">
        <f t="shared" si="13"/>
        <v>0</v>
      </c>
      <c r="L202" s="66">
        <v>2014</v>
      </c>
      <c r="M202" s="66"/>
      <c r="N202" s="66"/>
      <c r="O202" s="66"/>
      <c r="P202" s="66"/>
      <c r="Q202" s="66"/>
      <c r="R202" s="168">
        <v>2014</v>
      </c>
      <c r="S202" s="104"/>
      <c r="U202">
        <f>ASIC!I24</f>
        <v>65</v>
      </c>
      <c r="V202" s="70">
        <f>ASIC!D24</f>
        <v>2014</v>
      </c>
      <c r="W202" s="73" t="e">
        <f>IF(ASIC!H24=Data!W$180,ASIC!V24*(0.7^AB202)/(ASIC!L24^2))</f>
        <v>#VALUE!</v>
      </c>
      <c r="X202" s="73" t="b">
        <f>IF(ASIC!H24=Data!X$180,ASIC!V24*(0.7^AB202)/(ASIC!L24^2))</f>
        <v>0</v>
      </c>
      <c r="Y202" s="73" t="b">
        <f>IF(ASIC!H24=Data!Y$180,ASIC!V24*(0.7^AB202)/(ASIC!L24^2))</f>
        <v>0</v>
      </c>
      <c r="Z202" s="73" t="b">
        <f>IF(ASIC!H24=Data!Z$180,ASIC!V24*(0.7^AB202)/(ASIC!L24^2))</f>
        <v>0</v>
      </c>
      <c r="AA202" s="73" t="b">
        <f>IF(ASIC!H24=Data!AA$180,ASIC!V24*(0.7^AB202)/(ASIC!L24^2))</f>
        <v>0</v>
      </c>
      <c r="AB202">
        <v>3</v>
      </c>
    </row>
    <row r="203" spans="2:28" x14ac:dyDescent="0.3">
      <c r="B203" s="68">
        <f>ASIC!D25</f>
        <v>2014</v>
      </c>
      <c r="C203" s="68">
        <f>ASIC!I25</f>
        <v>22</v>
      </c>
      <c r="D203" s="68">
        <v>-3</v>
      </c>
      <c r="E203" s="68">
        <f>ASIC!L25</f>
        <v>0.8</v>
      </c>
      <c r="F203">
        <f t="shared" si="9"/>
        <v>0</v>
      </c>
      <c r="G203">
        <f t="shared" si="10"/>
        <v>0</v>
      </c>
      <c r="H203">
        <f t="shared" si="11"/>
        <v>0</v>
      </c>
      <c r="I203">
        <f t="shared" si="12"/>
        <v>524.8785817714421</v>
      </c>
      <c r="J203">
        <f t="shared" si="13"/>
        <v>0</v>
      </c>
      <c r="L203" s="66">
        <v>2014</v>
      </c>
      <c r="M203" s="66"/>
      <c r="N203" s="66"/>
      <c r="O203" s="66"/>
      <c r="P203" s="66">
        <v>524.8785817714421</v>
      </c>
      <c r="Q203" s="66"/>
      <c r="R203" s="168">
        <v>2014</v>
      </c>
      <c r="S203" s="104">
        <f t="shared" si="8"/>
        <v>524.8785817714421</v>
      </c>
      <c r="U203">
        <f>ASIC!I25</f>
        <v>22</v>
      </c>
      <c r="V203" s="70">
        <f>ASIC!D25</f>
        <v>2014</v>
      </c>
      <c r="W203" s="73" t="b">
        <f>IF(ASIC!H25=Data!W$180,ASIC!V25*(0.7^AB203)/(ASIC!L25^2))</f>
        <v>0</v>
      </c>
      <c r="X203" s="73" t="b">
        <f>IF(ASIC!H25=Data!X$180,ASIC!V25*(0.7^AB203)/(ASIC!L25^2))</f>
        <v>0</v>
      </c>
      <c r="Y203" s="73" t="b">
        <f>IF(ASIC!H25=Data!Y$180,ASIC!V25*(0.7^AB203)/(ASIC!L25^2))</f>
        <v>0</v>
      </c>
      <c r="Z203" s="73">
        <f>IF(ASIC!H25=Data!Z$180,ASIC!V25*(0.7^AB203)/(ASIC!L25^2))</f>
        <v>0.29687499999999994</v>
      </c>
      <c r="AA203" s="73" t="b">
        <f>IF(ASIC!H25=Data!AA$180,ASIC!V25*(0.7^AB203)/(ASIC!L25^2))</f>
        <v>0</v>
      </c>
      <c r="AB203">
        <v>0</v>
      </c>
    </row>
    <row r="204" spans="2:28" x14ac:dyDescent="0.3">
      <c r="B204" s="68">
        <f>ASIC!D26</f>
        <v>2014</v>
      </c>
      <c r="C204" s="68">
        <f>ASIC!I26</f>
        <v>22</v>
      </c>
      <c r="D204" s="68">
        <v>-3</v>
      </c>
      <c r="E204" s="68">
        <f>ASIC!L26</f>
        <v>0.8</v>
      </c>
      <c r="F204">
        <f t="shared" si="9"/>
        <v>0</v>
      </c>
      <c r="G204">
        <f t="shared" si="10"/>
        <v>0</v>
      </c>
      <c r="H204">
        <f t="shared" si="11"/>
        <v>0</v>
      </c>
      <c r="I204">
        <f t="shared" si="12"/>
        <v>35.912745068572349</v>
      </c>
      <c r="J204">
        <f t="shared" si="13"/>
        <v>0</v>
      </c>
      <c r="L204" s="66">
        <v>2014</v>
      </c>
      <c r="M204" s="66"/>
      <c r="N204" s="66"/>
      <c r="O204" s="66"/>
      <c r="P204" s="66">
        <v>35.912745068572349</v>
      </c>
      <c r="Q204" s="66"/>
      <c r="R204" s="168">
        <v>2014</v>
      </c>
      <c r="S204" s="104">
        <f t="shared" si="8"/>
        <v>35.912745068572349</v>
      </c>
      <c r="U204">
        <f>ASIC!I26</f>
        <v>22</v>
      </c>
      <c r="V204" s="70">
        <f>ASIC!D26</f>
        <v>2014</v>
      </c>
      <c r="W204" s="73" t="b">
        <f>IF(ASIC!H26=Data!W$180,ASIC!V26*(0.7^AB204)/(ASIC!L26^2))</f>
        <v>0</v>
      </c>
      <c r="X204" s="73" t="b">
        <f>IF(ASIC!H26=Data!X$180,ASIC!V26*(0.7^AB204)/(ASIC!L26^2))</f>
        <v>0</v>
      </c>
      <c r="Y204" s="73" t="b">
        <f>IF(ASIC!H26=Data!Y$180,ASIC!V26*(0.7^AB204)/(ASIC!L26^2))</f>
        <v>0</v>
      </c>
      <c r="Z204" s="73">
        <f>IF(ASIC!H26=Data!Z$180,ASIC!V26*(0.7^AB204)/(ASIC!L26^2))</f>
        <v>2.0312499999999994E-2</v>
      </c>
      <c r="AA204" s="73" t="b">
        <f>IF(ASIC!H26=Data!AA$180,ASIC!V26*(0.7^AB204)/(ASIC!L26^2))</f>
        <v>0</v>
      </c>
      <c r="AB204">
        <v>0</v>
      </c>
    </row>
    <row r="205" spans="2:28" x14ac:dyDescent="0.3">
      <c r="B205" s="68">
        <f>ASIC!D27</f>
        <v>2014</v>
      </c>
      <c r="C205" s="68">
        <f>ASIC!I27</f>
        <v>180</v>
      </c>
      <c r="D205" s="68">
        <v>3</v>
      </c>
      <c r="E205" s="68">
        <f>ASIC!L27</f>
        <v>1.8</v>
      </c>
      <c r="F205">
        <f t="shared" si="9"/>
        <v>0</v>
      </c>
      <c r="G205">
        <f t="shared" si="10"/>
        <v>0</v>
      </c>
      <c r="H205">
        <f t="shared" si="11"/>
        <v>0</v>
      </c>
      <c r="I205">
        <f t="shared" si="12"/>
        <v>0</v>
      </c>
      <c r="J205">
        <f t="shared" si="13"/>
        <v>0</v>
      </c>
      <c r="L205" s="66">
        <v>2014</v>
      </c>
      <c r="M205" s="66"/>
      <c r="N205" s="66"/>
      <c r="O205" s="66"/>
      <c r="P205" s="66"/>
      <c r="Q205" s="66"/>
      <c r="R205" s="168">
        <v>2014</v>
      </c>
      <c r="S205" s="104"/>
      <c r="U205">
        <f>ASIC!I27</f>
        <v>180</v>
      </c>
      <c r="V205" s="70">
        <f>ASIC!D27</f>
        <v>2014</v>
      </c>
      <c r="W205" s="73" t="e">
        <f>IF(ASIC!H27=Data!W$180,ASIC!V27*(0.7^AB205)/(ASIC!L27^2))</f>
        <v>#VALUE!</v>
      </c>
      <c r="X205" s="73" t="b">
        <f>IF(ASIC!H27=Data!X$180,ASIC!V27*(0.7^AB205)/(ASIC!L27^2))</f>
        <v>0</v>
      </c>
      <c r="Y205" s="73" t="b">
        <f>IF(ASIC!H27=Data!Y$180,ASIC!V27*(0.7^AB205)/(ASIC!L27^2))</f>
        <v>0</v>
      </c>
      <c r="Z205" s="73" t="b">
        <f>IF(ASIC!H27=Data!Z$180,ASIC!V27*(0.7^AB205)/(ASIC!L27^2))</f>
        <v>0</v>
      </c>
      <c r="AA205" s="73" t="b">
        <f>IF(ASIC!H27=Data!AA$180,ASIC!V27*(0.7^AB205)/(ASIC!L27^2))</f>
        <v>0</v>
      </c>
      <c r="AB205">
        <v>6</v>
      </c>
    </row>
    <row r="206" spans="2:28" x14ac:dyDescent="0.3">
      <c r="B206" s="68">
        <f>ASIC!D28</f>
        <v>2015</v>
      </c>
      <c r="C206" s="68">
        <f>ASIC!I28</f>
        <v>65</v>
      </c>
      <c r="D206" s="70">
        <v>0</v>
      </c>
      <c r="E206" s="68">
        <f>ASIC!L28</f>
        <v>1</v>
      </c>
      <c r="F206">
        <f t="shared" si="9"/>
        <v>0</v>
      </c>
      <c r="G206">
        <f t="shared" si="10"/>
        <v>0</v>
      </c>
      <c r="H206">
        <f t="shared" si="11"/>
        <v>0</v>
      </c>
      <c r="I206">
        <f t="shared" si="12"/>
        <v>0</v>
      </c>
      <c r="J206">
        <f t="shared" si="13"/>
        <v>9.0964220739842325</v>
      </c>
      <c r="L206" s="66">
        <v>2015</v>
      </c>
      <c r="M206" s="66"/>
      <c r="N206" s="66"/>
      <c r="O206" s="66"/>
      <c r="P206" s="66"/>
      <c r="Q206" s="66">
        <v>9.0964220739842325</v>
      </c>
      <c r="R206" s="168">
        <v>2015</v>
      </c>
      <c r="S206" s="104">
        <f t="shared" si="8"/>
        <v>9.0964220739842325</v>
      </c>
      <c r="U206">
        <f>ASIC!I28</f>
        <v>65</v>
      </c>
      <c r="V206" s="70">
        <f>ASIC!D28</f>
        <v>2015</v>
      </c>
      <c r="W206" s="73" t="b">
        <f>IF(ASIC!H28=Data!W$180,ASIC!V28*(0.7^AB206)/(ASIC!L28^2))</f>
        <v>0</v>
      </c>
      <c r="X206" s="73" t="b">
        <f>IF(ASIC!H28=Data!X$180,ASIC!V28*(0.7^AB206)/(ASIC!L28^2))</f>
        <v>0</v>
      </c>
      <c r="Y206" s="73" t="b">
        <f>IF(ASIC!H28=Data!Y$180,ASIC!V28*(0.7^AB206)/(ASIC!L28^2))</f>
        <v>0</v>
      </c>
      <c r="Z206" s="73" t="b">
        <f>IF(ASIC!H28=Data!Z$180,ASIC!V28*(0.7^AB206)/(ASIC!L28^2))</f>
        <v>0</v>
      </c>
      <c r="AA206" s="73">
        <f>IF(ASIC!H28=Data!AA$180,ASIC!V28*(0.7^AB206)/(ASIC!L28^2))</f>
        <v>5.1449999999999985E-3</v>
      </c>
      <c r="AB206">
        <v>3</v>
      </c>
    </row>
    <row r="207" spans="2:28" x14ac:dyDescent="0.3">
      <c r="B207" s="68">
        <f>ASIC!D29</f>
        <v>2015</v>
      </c>
      <c r="C207" s="68">
        <f>ASIC!I29</f>
        <v>65</v>
      </c>
      <c r="D207" s="105">
        <v>0</v>
      </c>
      <c r="E207" s="68">
        <f>ASIC!L29</f>
        <v>1</v>
      </c>
      <c r="F207">
        <f t="shared" si="9"/>
        <v>667.07095209217709</v>
      </c>
      <c r="G207">
        <f t="shared" si="10"/>
        <v>0</v>
      </c>
      <c r="H207">
        <f t="shared" si="11"/>
        <v>0</v>
      </c>
      <c r="I207">
        <f t="shared" si="12"/>
        <v>0</v>
      </c>
      <c r="J207">
        <f t="shared" si="13"/>
        <v>0</v>
      </c>
      <c r="L207" s="66">
        <v>2015</v>
      </c>
      <c r="M207" s="66">
        <v>667.07095209217709</v>
      </c>
      <c r="N207" s="66"/>
      <c r="O207" s="66"/>
      <c r="P207" s="66"/>
      <c r="Q207" s="66"/>
      <c r="R207" s="168">
        <v>2015</v>
      </c>
      <c r="S207" s="104">
        <f t="shared" si="8"/>
        <v>667.07095209217709</v>
      </c>
      <c r="U207">
        <f>ASIC!I29</f>
        <v>65</v>
      </c>
      <c r="V207" s="70">
        <f>ASIC!D29</f>
        <v>2015</v>
      </c>
      <c r="W207" s="73">
        <f>IF(ASIC!H29=Data!W$180,ASIC!V29*(0.7^AB207)/(ASIC!L29^2))</f>
        <v>0.37729999999999991</v>
      </c>
      <c r="X207" s="73" t="b">
        <f>IF(ASIC!H29=Data!X$180,ASIC!V29*(0.7^AB207)/(ASIC!L29^2))</f>
        <v>0</v>
      </c>
      <c r="Y207" s="73" t="b">
        <f>IF(ASIC!H29=Data!Y$180,ASIC!V29*(0.7^AB207)/(ASIC!L29^2))</f>
        <v>0</v>
      </c>
      <c r="Z207" s="73" t="b">
        <f>IF(ASIC!H29=Data!Z$180,ASIC!V29*(0.7^AB207)/(ASIC!L29^2))</f>
        <v>0</v>
      </c>
      <c r="AA207" s="73" t="b">
        <f>IF(ASIC!H29=Data!AA$180,ASIC!V29*(0.7^AB207)/(ASIC!L29^2))</f>
        <v>0</v>
      </c>
      <c r="AB207">
        <v>3</v>
      </c>
    </row>
    <row r="208" spans="2:28" x14ac:dyDescent="0.3">
      <c r="B208" s="68">
        <f>ASIC!D30</f>
        <v>2015</v>
      </c>
      <c r="C208" s="68">
        <f>ASIC!I30</f>
        <v>180</v>
      </c>
      <c r="D208" s="105">
        <v>3</v>
      </c>
      <c r="E208" s="68">
        <f>ASIC!L30</f>
        <v>1.8</v>
      </c>
      <c r="F208">
        <f t="shared" si="9"/>
        <v>0</v>
      </c>
      <c r="G208">
        <f t="shared" si="10"/>
        <v>0</v>
      </c>
      <c r="H208">
        <f t="shared" si="11"/>
        <v>0</v>
      </c>
      <c r="I208">
        <f t="shared" si="12"/>
        <v>0</v>
      </c>
      <c r="J208">
        <f t="shared" si="13"/>
        <v>0</v>
      </c>
      <c r="L208" s="66">
        <v>2015</v>
      </c>
      <c r="M208" s="66"/>
      <c r="N208" s="66"/>
      <c r="O208" s="66"/>
      <c r="P208" s="66"/>
      <c r="Q208" s="66"/>
      <c r="R208" s="168">
        <v>2015</v>
      </c>
      <c r="S208" s="104"/>
      <c r="U208">
        <f>ASIC!I30</f>
        <v>180</v>
      </c>
      <c r="V208" s="70">
        <f>ASIC!D30</f>
        <v>2015</v>
      </c>
      <c r="W208" s="73" t="e">
        <f>IF(ASIC!H30=Data!W$180,ASIC!V30*(0.7^AB208)/(ASIC!L30^2))</f>
        <v>#VALUE!</v>
      </c>
      <c r="X208" s="73" t="b">
        <f>IF(ASIC!H30=Data!X$180,ASIC!V30*(0.7^AB208)/(ASIC!L30^2))</f>
        <v>0</v>
      </c>
      <c r="Y208" s="73" t="b">
        <f>IF(ASIC!H30=Data!Y$180,ASIC!V30*(0.7^AB208)/(ASIC!L30^2))</f>
        <v>0</v>
      </c>
      <c r="Z208" s="73" t="b">
        <f>IF(ASIC!H30=Data!Z$180,ASIC!V30*(0.7^AB208)/(ASIC!L30^2))</f>
        <v>0</v>
      </c>
      <c r="AA208" s="73" t="b">
        <f>IF(ASIC!H30=Data!AA$180,ASIC!V30*(0.7^AB208)/(ASIC!L30^2))</f>
        <v>0</v>
      </c>
      <c r="AB208">
        <v>7</v>
      </c>
    </row>
    <row r="209" spans="2:28" x14ac:dyDescent="0.3">
      <c r="B209" s="68">
        <f>ASIC!D31</f>
        <v>2015</v>
      </c>
      <c r="C209" s="68">
        <f>ASIC!I31</f>
        <v>40</v>
      </c>
      <c r="D209" s="183">
        <v>-1</v>
      </c>
      <c r="E209" s="68">
        <f>ASIC!L31</f>
        <v>0.9</v>
      </c>
      <c r="F209">
        <f t="shared" ref="F209:F218" si="14">M151*(0.7)^D209/(E209^2)/$E$242</f>
        <v>0</v>
      </c>
      <c r="G209">
        <f t="shared" ref="G209:G218" si="15">N151*(0.7)^D209/(E209^2)/$E$242</f>
        <v>18984.302388385669</v>
      </c>
      <c r="H209">
        <f t="shared" ref="H209:H218" si="16">O151*(0.7)^D209/(E209^2)/$E$242</f>
        <v>0</v>
      </c>
      <c r="I209">
        <f t="shared" ref="I209:I218" si="17">P151*(0.7)^D209/(E209^2)/$E$242</f>
        <v>0</v>
      </c>
      <c r="J209">
        <f t="shared" ref="J209:J218" si="18">Q151*(0.7)^D209/(E209^2)/$E$242</f>
        <v>0</v>
      </c>
      <c r="L209" s="66">
        <v>2015</v>
      </c>
      <c r="M209" s="66"/>
      <c r="N209" s="66">
        <v>18984.302388385669</v>
      </c>
      <c r="O209" s="66"/>
      <c r="P209" s="66"/>
      <c r="Q209" s="66"/>
      <c r="R209" s="168">
        <v>2015</v>
      </c>
      <c r="S209" s="104">
        <f t="shared" si="8"/>
        <v>18984.302388385669</v>
      </c>
      <c r="U209">
        <f>ASIC!I31</f>
        <v>40</v>
      </c>
      <c r="V209" s="70">
        <f>ASIC!D31</f>
        <v>2015</v>
      </c>
      <c r="W209" s="73" t="b">
        <f>IF(ASIC!H31=Data!W$180,ASIC!V31*(0.7^AB209)/(ASIC!L31^2))</f>
        <v>0</v>
      </c>
      <c r="X209" s="73">
        <f>IF(ASIC!H31=Data!X$180,ASIC!V31*(0.7^AB209)/(ASIC!L31^2))</f>
        <v>10.737654320987652</v>
      </c>
      <c r="Y209" s="73" t="b">
        <f>IF(ASIC!H31=Data!Y$180,ASIC!V31*(0.7^AB209)/(ASIC!L31^2))</f>
        <v>0</v>
      </c>
      <c r="Z209" s="73" t="b">
        <f>IF(ASIC!H31=Data!Z$180,ASIC!V31*(0.7^AB209)/(ASIC!L31^2))</f>
        <v>0</v>
      </c>
      <c r="AA209" s="73" t="b">
        <f>IF(ASIC!H31=Data!AA$180,ASIC!V31*(0.7^AB209)/(ASIC!L31^2))</f>
        <v>0</v>
      </c>
      <c r="AB209">
        <v>2</v>
      </c>
    </row>
    <row r="210" spans="2:28" x14ac:dyDescent="0.3">
      <c r="B210" s="68">
        <f>ASIC!D32</f>
        <v>2016</v>
      </c>
      <c r="C210" s="68">
        <f>ASIC!I32</f>
        <v>45</v>
      </c>
      <c r="D210" s="183">
        <v>-1</v>
      </c>
      <c r="E210" s="68" t="str">
        <f>ASIC!L32</f>
        <v>NI</v>
      </c>
      <c r="F210" t="e">
        <f t="shared" si="14"/>
        <v>#VALUE!</v>
      </c>
      <c r="G210" t="e">
        <f t="shared" si="15"/>
        <v>#VALUE!</v>
      </c>
      <c r="H210" t="e">
        <f t="shared" si="16"/>
        <v>#VALUE!</v>
      </c>
      <c r="I210" t="e">
        <f t="shared" si="17"/>
        <v>#VALUE!</v>
      </c>
      <c r="J210" t="e">
        <f t="shared" si="18"/>
        <v>#VALUE!</v>
      </c>
      <c r="L210" s="66">
        <v>2016</v>
      </c>
      <c r="M210" s="66"/>
      <c r="N210" s="66"/>
      <c r="O210" s="66"/>
      <c r="P210" s="66"/>
      <c r="Q210" s="66"/>
      <c r="R210" s="168">
        <v>2016</v>
      </c>
      <c r="S210" s="104"/>
      <c r="U210">
        <f>ASIC!I32</f>
        <v>45</v>
      </c>
      <c r="V210" s="70">
        <f>ASIC!D32</f>
        <v>2016</v>
      </c>
      <c r="W210" s="73" t="e">
        <f>IF(ASIC!H32=Data!W$180,ASIC!V32*(0.7^AB210)/(ASIC!L32^2))</f>
        <v>#VALUE!</v>
      </c>
      <c r="X210" s="73" t="b">
        <f>IF(ASIC!H32=Data!X$180,ASIC!V32*(0.7^AB210)/(ASIC!L32^2))</f>
        <v>0</v>
      </c>
      <c r="Y210" s="73" t="b">
        <f>IF(ASIC!H32=Data!Y$180,ASIC!V32*(0.7^AB210)/(ASIC!L32^2))</f>
        <v>0</v>
      </c>
      <c r="Z210" s="73" t="b">
        <f>IF(ASIC!H32=Data!Z$180,ASIC!V32*(0.7^AB210)/(ASIC!L32^2))</f>
        <v>0</v>
      </c>
      <c r="AA210" s="73" t="b">
        <f>IF(ASIC!H32=Data!AA$180,ASIC!V32*(0.7^AB210)/(ASIC!L32^2))</f>
        <v>0</v>
      </c>
      <c r="AB210">
        <v>2</v>
      </c>
    </row>
    <row r="211" spans="2:28" x14ac:dyDescent="0.3">
      <c r="B211" s="68">
        <f>ASIC!D33</f>
        <v>2016</v>
      </c>
      <c r="C211" s="68">
        <f>ASIC!I33</f>
        <v>65</v>
      </c>
      <c r="D211" s="183">
        <v>0</v>
      </c>
      <c r="E211" s="68">
        <f>ASIC!L33</f>
        <v>1</v>
      </c>
      <c r="F211">
        <f t="shared" si="14"/>
        <v>0</v>
      </c>
      <c r="G211">
        <f t="shared" si="15"/>
        <v>0</v>
      </c>
      <c r="H211">
        <f t="shared" si="16"/>
        <v>0</v>
      </c>
      <c r="I211">
        <f t="shared" si="17"/>
        <v>0</v>
      </c>
      <c r="J211">
        <f t="shared" si="18"/>
        <v>0</v>
      </c>
      <c r="L211" s="66">
        <v>2016</v>
      </c>
      <c r="M211" s="66"/>
      <c r="N211" s="66"/>
      <c r="O211" s="66"/>
      <c r="P211" s="66"/>
      <c r="Q211" s="66"/>
      <c r="R211" s="168">
        <v>2016</v>
      </c>
      <c r="S211" s="104"/>
      <c r="U211">
        <f>ASIC!I33</f>
        <v>65</v>
      </c>
      <c r="V211" s="70">
        <f>ASIC!D33</f>
        <v>2016</v>
      </c>
      <c r="W211" s="73" t="b">
        <f>IF(ASIC!H33=Data!W$180,ASIC!V33*(0.7^AB211)/(ASIC!L33^2))</f>
        <v>0</v>
      </c>
      <c r="X211" s="73" t="b">
        <f>IF(ASIC!H33=Data!X$180,ASIC!V33*(0.7^AB211)/(ASIC!L33^2))</f>
        <v>0</v>
      </c>
      <c r="Y211" s="73" t="b">
        <f>IF(ASIC!H33=Data!Y$180,ASIC!V33*(0.7^AB211)/(ASIC!L33^2))</f>
        <v>0</v>
      </c>
      <c r="Z211" s="73" t="b">
        <f>IF(ASIC!H33=Data!Z$180,ASIC!V33*(0.7^AB211)/(ASIC!L33^2))</f>
        <v>0</v>
      </c>
      <c r="AA211" s="73">
        <f>IF(ASIC!H33=Data!AA$180,ASIC!V33*(0.7^AB211)/(ASIC!L33^2))</f>
        <v>5.1449999999999985E-3</v>
      </c>
      <c r="AB211">
        <v>3</v>
      </c>
    </row>
    <row r="212" spans="2:28" x14ac:dyDescent="0.3">
      <c r="B212" s="68">
        <f>ASIC!D34</f>
        <v>2016</v>
      </c>
      <c r="C212" s="68">
        <f>ASIC!I34</f>
        <v>65</v>
      </c>
      <c r="D212" s="183">
        <v>0</v>
      </c>
      <c r="E212" s="68">
        <f>ASIC!L34</f>
        <v>1</v>
      </c>
      <c r="F212">
        <f t="shared" si="14"/>
        <v>0</v>
      </c>
      <c r="G212">
        <f t="shared" si="15"/>
        <v>0</v>
      </c>
      <c r="H212">
        <f t="shared" si="16"/>
        <v>667.07095209217709</v>
      </c>
      <c r="I212">
        <f t="shared" si="17"/>
        <v>0</v>
      </c>
      <c r="J212">
        <f t="shared" si="18"/>
        <v>0</v>
      </c>
      <c r="L212" s="66">
        <v>2016</v>
      </c>
      <c r="M212" s="66"/>
      <c r="N212" s="66"/>
      <c r="O212" s="66">
        <v>667.07095209217709</v>
      </c>
      <c r="P212" s="66"/>
      <c r="Q212" s="66"/>
      <c r="R212" s="168">
        <v>2016</v>
      </c>
      <c r="S212" s="104">
        <f t="shared" si="8"/>
        <v>667.07095209217709</v>
      </c>
      <c r="U212">
        <f>ASIC!I34</f>
        <v>65</v>
      </c>
      <c r="V212" s="70">
        <f>ASIC!D34</f>
        <v>2016</v>
      </c>
      <c r="W212" s="73" t="b">
        <f>IF(ASIC!H34=Data!W$180,ASIC!V34*(0.7^AB212)/(ASIC!L34^2))</f>
        <v>0</v>
      </c>
      <c r="X212" s="73" t="b">
        <f>IF(ASIC!H34=Data!X$180,ASIC!V34*(0.7^AB212)/(ASIC!L34^2))</f>
        <v>0</v>
      </c>
      <c r="Y212" s="73">
        <f>IF(ASIC!H34=Data!Y$180,ASIC!V34*(0.7^AB212)/(ASIC!L34^2))</f>
        <v>0.37729999999999991</v>
      </c>
      <c r="Z212" s="73" t="b">
        <f>IF(ASIC!H34=Data!Z$180,ASIC!V34*(0.7^AB212)/(ASIC!L34^2))</f>
        <v>0</v>
      </c>
      <c r="AA212" s="73" t="b">
        <f>IF(ASIC!H34=Data!AA$180,ASIC!V34*(0.7^AB212)/(ASIC!L34^2))</f>
        <v>0</v>
      </c>
      <c r="AB212">
        <v>3</v>
      </c>
    </row>
    <row r="213" spans="2:28" x14ac:dyDescent="0.3">
      <c r="B213" s="68">
        <f>ASIC!D35</f>
        <v>2016</v>
      </c>
      <c r="C213" s="68">
        <f>ASIC!I35</f>
        <v>65</v>
      </c>
      <c r="D213" s="183">
        <v>0</v>
      </c>
      <c r="E213" s="68">
        <f>ASIC!L35</f>
        <v>0.5</v>
      </c>
      <c r="F213">
        <f t="shared" si="14"/>
        <v>0</v>
      </c>
      <c r="G213">
        <f t="shared" si="15"/>
        <v>1152.2134627046694</v>
      </c>
      <c r="H213">
        <f t="shared" si="16"/>
        <v>0</v>
      </c>
      <c r="I213">
        <f t="shared" si="17"/>
        <v>0</v>
      </c>
      <c r="J213">
        <f t="shared" si="18"/>
        <v>0</v>
      </c>
      <c r="L213" s="66">
        <v>2016</v>
      </c>
      <c r="M213" s="66"/>
      <c r="N213" s="66">
        <v>1152.2134627046694</v>
      </c>
      <c r="O213" s="66"/>
      <c r="P213" s="66"/>
      <c r="Q213" s="66"/>
      <c r="R213" s="168">
        <v>2016</v>
      </c>
      <c r="S213" s="104">
        <f t="shared" si="8"/>
        <v>1152.2134627046694</v>
      </c>
      <c r="U213">
        <f>ASIC!I35</f>
        <v>65</v>
      </c>
      <c r="V213" s="70">
        <f>ASIC!D35</f>
        <v>2016</v>
      </c>
      <c r="W213" s="73" t="b">
        <f>IF(ASIC!H35=Data!W$180,ASIC!V35*(0.7^AB213)/(ASIC!L35^2))</f>
        <v>0</v>
      </c>
      <c r="X213" s="73">
        <f>IF(ASIC!H35=Data!X$180,ASIC!V35*(0.7^AB213)/(ASIC!L35^2))</f>
        <v>0.65169999999999983</v>
      </c>
      <c r="Y213" s="73" t="b">
        <f>IF(ASIC!H35=Data!Y$180,ASIC!V35*(0.7^AB213)/(ASIC!L35^2))</f>
        <v>0</v>
      </c>
      <c r="Z213" s="73" t="b">
        <f>IF(ASIC!H35=Data!Z$180,ASIC!V35*(0.7^AB213)/(ASIC!L35^2))</f>
        <v>0</v>
      </c>
      <c r="AA213" s="73" t="b">
        <f>IF(ASIC!H35=Data!AA$180,ASIC!V35*(0.7^AB213)/(ASIC!L35^2))</f>
        <v>0</v>
      </c>
      <c r="AB213">
        <v>3</v>
      </c>
    </row>
    <row r="214" spans="2:28" x14ac:dyDescent="0.3">
      <c r="B214" s="68">
        <f>ASIC!D36</f>
        <v>2016</v>
      </c>
      <c r="C214" s="68">
        <f>ASIC!I36</f>
        <v>65</v>
      </c>
      <c r="D214" s="183">
        <v>0</v>
      </c>
      <c r="E214" s="68">
        <f>ASIC!L36</f>
        <v>1</v>
      </c>
      <c r="F214">
        <f t="shared" si="14"/>
        <v>3650.6973923590049</v>
      </c>
      <c r="G214">
        <f t="shared" si="15"/>
        <v>0</v>
      </c>
      <c r="H214">
        <f t="shared" si="16"/>
        <v>0</v>
      </c>
      <c r="I214">
        <f t="shared" si="17"/>
        <v>0</v>
      </c>
      <c r="J214">
        <f t="shared" si="18"/>
        <v>0</v>
      </c>
      <c r="L214" s="66">
        <v>2016</v>
      </c>
      <c r="M214" s="66">
        <v>3650.6973923590049</v>
      </c>
      <c r="N214" s="66"/>
      <c r="O214" s="66"/>
      <c r="P214" s="66"/>
      <c r="Q214" s="66"/>
      <c r="R214" s="168">
        <v>2016</v>
      </c>
      <c r="S214" s="104"/>
      <c r="U214">
        <f>ASIC!I36</f>
        <v>65</v>
      </c>
      <c r="V214" s="70">
        <f>ASIC!D36</f>
        <v>2016</v>
      </c>
      <c r="W214" s="73">
        <f>IF(ASIC!H36=Data!W$180,ASIC!V36*(0.7^AB214)/(ASIC!L36^2))</f>
        <v>2.0648599999999995</v>
      </c>
      <c r="X214" s="73" t="b">
        <f>IF(ASIC!H36=Data!X$180,ASIC!V36*(0.7^AB214)/(ASIC!L36^2))</f>
        <v>0</v>
      </c>
      <c r="Y214" s="73" t="b">
        <f>IF(ASIC!H36=Data!Y$180,ASIC!V36*(0.7^AB214)/(ASIC!L36^2))</f>
        <v>0</v>
      </c>
      <c r="Z214" s="73" t="b">
        <f>IF(ASIC!H36=Data!Z$180,ASIC!V36*(0.7^AB214)/(ASIC!L36^2))</f>
        <v>0</v>
      </c>
      <c r="AA214" s="73" t="b">
        <f>IF(ASIC!H36=Data!AA$180,ASIC!V36*(0.7^AB214)/(ASIC!L36^2))</f>
        <v>0</v>
      </c>
      <c r="AB214">
        <v>3</v>
      </c>
    </row>
    <row r="215" spans="2:28" x14ac:dyDescent="0.3">
      <c r="B215" s="68">
        <f>ASIC!D37</f>
        <v>2016</v>
      </c>
      <c r="C215" s="68">
        <f>ASIC!I37</f>
        <v>14</v>
      </c>
      <c r="D215" s="183">
        <v>-4</v>
      </c>
      <c r="E215" s="68">
        <f>ASIC!L37</f>
        <v>0.65</v>
      </c>
      <c r="F215">
        <f t="shared" si="14"/>
        <v>0</v>
      </c>
      <c r="G215">
        <f t="shared" si="15"/>
        <v>0</v>
      </c>
      <c r="H215">
        <f t="shared" si="16"/>
        <v>0</v>
      </c>
      <c r="I215">
        <f t="shared" si="17"/>
        <v>23.912251089289345</v>
      </c>
      <c r="J215">
        <f t="shared" si="18"/>
        <v>0</v>
      </c>
      <c r="L215" s="66">
        <v>2016</v>
      </c>
      <c r="M215" s="66"/>
      <c r="N215" s="66"/>
      <c r="O215" s="66"/>
      <c r="P215" s="66">
        <v>23.912251089289345</v>
      </c>
      <c r="Q215" s="66"/>
      <c r="R215" s="168">
        <v>2016</v>
      </c>
      <c r="S215" s="104">
        <f t="shared" si="8"/>
        <v>23.912251089289345</v>
      </c>
      <c r="U215">
        <f>ASIC!I37</f>
        <v>14</v>
      </c>
      <c r="V215" s="70">
        <f>ASIC!D37</f>
        <v>2016</v>
      </c>
      <c r="W215" s="73" t="b">
        <f>IF(ASIC!H37=Data!W$180,ASIC!V37*(0.7^AB215)/(ASIC!L37^2))</f>
        <v>0</v>
      </c>
      <c r="X215" s="73" t="b">
        <f>IF(ASIC!H37=Data!X$180,ASIC!V37*(0.7^AB215)/(ASIC!L37^2))</f>
        <v>0</v>
      </c>
      <c r="Y215" s="73" t="b">
        <f>IF(ASIC!H37=Data!Y$180,ASIC!V37*(0.7^AB215)/(ASIC!L37^2))</f>
        <v>0</v>
      </c>
      <c r="Z215" s="73">
        <f>IF(ASIC!H37=Data!Z$180,ASIC!V37*(0.7^AB215)/(ASIC!L37^2))</f>
        <v>1.3524936601859678E-2</v>
      </c>
      <c r="AA215" s="73" t="b">
        <f>IF(ASIC!H37=Data!AA$180,ASIC!V37*(0.7^AB215)/(ASIC!L37^2))</f>
        <v>0</v>
      </c>
      <c r="AB215">
        <v>-1</v>
      </c>
    </row>
    <row r="216" spans="2:28" x14ac:dyDescent="0.3">
      <c r="B216" s="68">
        <f>ASIC!D38</f>
        <v>2016</v>
      </c>
      <c r="C216" s="68">
        <f>ASIC!I38</f>
        <v>40</v>
      </c>
      <c r="D216" s="183">
        <v>-1</v>
      </c>
      <c r="E216" s="68">
        <f>ASIC!L38</f>
        <v>0</v>
      </c>
      <c r="F216" t="e">
        <f t="shared" si="14"/>
        <v>#DIV/0!</v>
      </c>
      <c r="G216" t="e">
        <f t="shared" si="15"/>
        <v>#DIV/0!</v>
      </c>
      <c r="H216" t="e">
        <f t="shared" si="16"/>
        <v>#DIV/0!</v>
      </c>
      <c r="I216" t="e">
        <f t="shared" si="17"/>
        <v>#DIV/0!</v>
      </c>
      <c r="J216" t="e">
        <f t="shared" si="18"/>
        <v>#DIV/0!</v>
      </c>
      <c r="L216" s="66">
        <v>2016</v>
      </c>
      <c r="M216" s="66"/>
      <c r="N216" s="66"/>
      <c r="O216" s="66"/>
      <c r="P216" s="66"/>
      <c r="Q216" s="66"/>
      <c r="R216" s="168">
        <v>2016</v>
      </c>
      <c r="S216" s="104"/>
      <c r="U216">
        <f>ASIC!I38</f>
        <v>40</v>
      </c>
      <c r="V216" s="70">
        <f>ASIC!D38</f>
        <v>2016</v>
      </c>
      <c r="W216" s="73" t="b">
        <f>IF(ASIC!H38=Data!W$180,ASIC!V38*(0.7^AB216)/(ASIC!L38^2))</f>
        <v>0</v>
      </c>
      <c r="X216" s="73" t="b">
        <f>IF(ASIC!H38=Data!X$180,ASIC!V38*(0.7^AB216)/(ASIC!L38^2))</f>
        <v>0</v>
      </c>
      <c r="Y216" s="73" t="b">
        <f>IF(ASIC!H38=Data!Y$180,ASIC!V38*(0.7^AB216)/(ASIC!L38^2))</f>
        <v>0</v>
      </c>
      <c r="Z216" s="73" t="b">
        <f>IF(ASIC!H38=Data!Z$180,ASIC!V38*(0.7^AB216)/(ASIC!L38^2))</f>
        <v>0</v>
      </c>
      <c r="AA216" s="73" t="b">
        <f>IF(ASIC!H38=Data!AA$180,ASIC!V38*(0.7^AB216)/(ASIC!L38^2))</f>
        <v>0</v>
      </c>
      <c r="AB216">
        <v>2</v>
      </c>
    </row>
    <row r="217" spans="2:28" x14ac:dyDescent="0.3">
      <c r="B217" s="68">
        <f>ASIC!D39</f>
        <v>2017</v>
      </c>
      <c r="C217" s="68">
        <f>ASIC!I39</f>
        <v>180</v>
      </c>
      <c r="D217" s="183">
        <v>3</v>
      </c>
      <c r="E217" s="68">
        <f>ASIC!L39</f>
        <v>1.2</v>
      </c>
      <c r="F217">
        <f t="shared" si="14"/>
        <v>0</v>
      </c>
      <c r="G217">
        <f t="shared" si="15"/>
        <v>0</v>
      </c>
      <c r="H217">
        <f t="shared" si="16"/>
        <v>0</v>
      </c>
      <c r="I217">
        <f t="shared" si="17"/>
        <v>0</v>
      </c>
      <c r="J217">
        <f t="shared" si="18"/>
        <v>2.0222693888551979</v>
      </c>
      <c r="L217" s="66">
        <v>2017</v>
      </c>
      <c r="M217" s="66"/>
      <c r="N217" s="66"/>
      <c r="O217" s="66"/>
      <c r="P217" s="66"/>
      <c r="Q217" s="66">
        <v>2.0222693888551979</v>
      </c>
      <c r="R217" s="168">
        <v>2017</v>
      </c>
      <c r="S217" s="104">
        <f t="shared" si="8"/>
        <v>2.0222693888551979</v>
      </c>
      <c r="U217">
        <f>ASIC!I39</f>
        <v>180</v>
      </c>
      <c r="V217" s="70">
        <f>ASIC!D39</f>
        <v>2017</v>
      </c>
      <c r="W217" s="73" t="b">
        <f>IF(ASIC!H39=Data!W$180,ASIC!V39*(0.7^AB217)/(ASIC!L39^2))</f>
        <v>0</v>
      </c>
      <c r="X217" s="73" t="b">
        <f>IF(ASIC!H39=Data!X$180,ASIC!V39*(0.7^AB217)/(ASIC!L39^2))</f>
        <v>0</v>
      </c>
      <c r="Y217" s="73" t="b">
        <f>IF(ASIC!H39=Data!Y$180,ASIC!V39*(0.7^AB217)/(ASIC!L39^2))</f>
        <v>0</v>
      </c>
      <c r="Z217" s="73" t="b">
        <f>IF(ASIC!H39=Data!Z$180,ASIC!V39*(0.7^AB217)/(ASIC!L39^2))</f>
        <v>0</v>
      </c>
      <c r="AA217" s="73">
        <f>IF(ASIC!H39=Data!AA$180,ASIC!V39*(0.7^AB217)/(ASIC!L39^2))</f>
        <v>1.1438097222222217E-3</v>
      </c>
      <c r="AB217">
        <v>6</v>
      </c>
    </row>
    <row r="218" spans="2:28" x14ac:dyDescent="0.3">
      <c r="B218" s="68">
        <f>ASIC!D40</f>
        <v>2017</v>
      </c>
      <c r="C218" s="68">
        <f>ASIC!I40</f>
        <v>180</v>
      </c>
      <c r="D218" s="183">
        <v>3</v>
      </c>
      <c r="E218" s="68">
        <f>ASIC!L40</f>
        <v>1.2</v>
      </c>
      <c r="F218">
        <f t="shared" si="14"/>
        <v>0</v>
      </c>
      <c r="G218">
        <f t="shared" si="15"/>
        <v>0</v>
      </c>
      <c r="H218">
        <f t="shared" si="16"/>
        <v>0</v>
      </c>
      <c r="I218">
        <f t="shared" si="17"/>
        <v>0</v>
      </c>
      <c r="J218">
        <f t="shared" si="18"/>
        <v>1.588925948386227</v>
      </c>
      <c r="L218" s="66">
        <v>2017</v>
      </c>
      <c r="M218" s="66"/>
      <c r="N218" s="66"/>
      <c r="O218" s="66"/>
      <c r="P218" s="66"/>
      <c r="Q218" s="66">
        <v>1.588925948386227</v>
      </c>
      <c r="R218" s="168">
        <v>2017</v>
      </c>
      <c r="S218" s="104">
        <f t="shared" si="8"/>
        <v>1.588925948386227</v>
      </c>
      <c r="U218">
        <f>ASIC!I40</f>
        <v>180</v>
      </c>
      <c r="V218" s="70">
        <f>ASIC!D40</f>
        <v>2017</v>
      </c>
      <c r="W218" s="73" t="b">
        <f>IF(ASIC!H40=Data!W$180,ASIC!V40*(0.7^AB218)/(ASIC!L40^2))</f>
        <v>0</v>
      </c>
      <c r="X218" s="73" t="b">
        <f>IF(ASIC!H40=Data!X$180,ASIC!V40*(0.7^AB218)/(ASIC!L40^2))</f>
        <v>0</v>
      </c>
      <c r="Y218" s="73" t="b">
        <f>IF(ASIC!H40=Data!Y$180,ASIC!V40*(0.7^AB218)/(ASIC!L40^2))</f>
        <v>0</v>
      </c>
      <c r="Z218" s="73" t="b">
        <f>IF(ASIC!H40=Data!Z$180,ASIC!V40*(0.7^AB218)/(ASIC!L40^2))</f>
        <v>0</v>
      </c>
      <c r="AA218" s="73">
        <f>IF(ASIC!H40=Data!AA$180,ASIC!V40*(0.7^AB218)/(ASIC!L40^2))</f>
        <v>8.9870763888888841E-4</v>
      </c>
      <c r="AB218">
        <v>6</v>
      </c>
    </row>
    <row r="219" spans="2:28" x14ac:dyDescent="0.3">
      <c r="B219" s="68">
        <f>ASIC!D41</f>
        <v>2017</v>
      </c>
      <c r="C219" s="68">
        <f>ASIC!I41</f>
        <v>350</v>
      </c>
      <c r="D219" s="183">
        <v>4</v>
      </c>
      <c r="E219" s="68">
        <f>ASIC!L41</f>
        <v>1.2</v>
      </c>
      <c r="F219">
        <f t="shared" ref="F219:F233" si="19">M161*(0.7)^D219/(E219^2)/$E$242</f>
        <v>339.74125732767322</v>
      </c>
      <c r="G219">
        <f t="shared" ref="G219:G233" si="20">N161*(0.7)^D219/(E219^2)/$E$242</f>
        <v>0</v>
      </c>
      <c r="H219">
        <f t="shared" ref="H219:H233" si="21">O161*(0.7)^D219/(E219^2)/$E$242</f>
        <v>0</v>
      </c>
      <c r="I219">
        <f t="shared" ref="I219:I233" si="22">P161*(0.7)^D219/(E219^2)/$E$242</f>
        <v>0</v>
      </c>
      <c r="J219">
        <f t="shared" ref="J219:J233" si="23">Q161*(0.7)^D219/(E219^2)/$E$242</f>
        <v>0</v>
      </c>
      <c r="L219" s="66">
        <v>2017</v>
      </c>
      <c r="M219" s="66">
        <v>339.74125732767322</v>
      </c>
      <c r="N219" s="66"/>
      <c r="O219" s="66"/>
      <c r="P219" s="66"/>
      <c r="Q219" s="66"/>
      <c r="R219" s="168">
        <v>2017</v>
      </c>
      <c r="S219" s="104">
        <f t="shared" si="8"/>
        <v>339.74125732767322</v>
      </c>
      <c r="U219">
        <f>ASIC!I41</f>
        <v>350</v>
      </c>
      <c r="V219" s="70">
        <f>ASIC!D41</f>
        <v>2017</v>
      </c>
      <c r="W219" s="73">
        <f>IF(ASIC!H41=Data!W$180,ASIC!V41*(0.7^AB219)/(ASIC!L41^2))</f>
        <v>0.13451202333333326</v>
      </c>
      <c r="X219" s="73" t="b">
        <f>IF(ASIC!H41=Data!X$180,ASIC!V41*(0.7^AB219)/(ASIC!L41^2))</f>
        <v>0</v>
      </c>
      <c r="Y219" s="73" t="b">
        <f>IF(ASIC!H41=Data!Y$180,ASIC!V41*(0.7^AB219)/(ASIC!L41^2))</f>
        <v>0</v>
      </c>
      <c r="Z219" s="73" t="b">
        <f>IF(ASIC!H41=Data!Z$180,ASIC!V41*(0.7^AB219)/(ASIC!L41^2))</f>
        <v>0</v>
      </c>
      <c r="AA219" s="73" t="b">
        <f>IF(ASIC!H41=Data!AA$180,ASIC!V41*(0.7^AB219)/(ASIC!L41^2))</f>
        <v>0</v>
      </c>
      <c r="AB219">
        <v>8</v>
      </c>
    </row>
    <row r="220" spans="2:28" x14ac:dyDescent="0.3">
      <c r="B220" s="68">
        <f>ASIC!D42</f>
        <v>2017</v>
      </c>
      <c r="C220" s="68">
        <f>ASIC!I42</f>
        <v>65</v>
      </c>
      <c r="D220" s="183">
        <v>0</v>
      </c>
      <c r="E220" s="68">
        <f>ASIC!L42</f>
        <v>1</v>
      </c>
      <c r="F220">
        <f t="shared" si="19"/>
        <v>0</v>
      </c>
      <c r="G220">
        <f t="shared" si="20"/>
        <v>0</v>
      </c>
      <c r="H220">
        <f t="shared" si="21"/>
        <v>0</v>
      </c>
      <c r="I220">
        <f t="shared" si="22"/>
        <v>0</v>
      </c>
      <c r="J220">
        <f t="shared" si="23"/>
        <v>0</v>
      </c>
      <c r="L220" s="66">
        <v>2017</v>
      </c>
      <c r="M220" s="66"/>
      <c r="N220" s="66"/>
      <c r="O220" s="66"/>
      <c r="P220" s="66"/>
      <c r="Q220" s="66"/>
      <c r="R220" s="168">
        <v>2017</v>
      </c>
      <c r="S220" s="104"/>
      <c r="U220">
        <f>ASIC!I42</f>
        <v>65</v>
      </c>
      <c r="V220" s="70">
        <f>ASIC!D42</f>
        <v>2017</v>
      </c>
      <c r="W220" s="73">
        <f>IF(ASIC!H42=Data!W$180,ASIC!V42*(0.7^AB220)/(ASIC!L42^2))</f>
        <v>0</v>
      </c>
      <c r="X220" s="73" t="b">
        <f>IF(ASIC!H42=Data!X$180,ASIC!V42*(0.7^AB220)/(ASIC!L42^2))</f>
        <v>0</v>
      </c>
      <c r="Y220" s="73" t="b">
        <f>IF(ASIC!H42=Data!Y$180,ASIC!V42*(0.7^AB220)/(ASIC!L42^2))</f>
        <v>0</v>
      </c>
      <c r="Z220" s="73" t="b">
        <f>IF(ASIC!H42=Data!Z$180,ASIC!V42*(0.7^AB220)/(ASIC!L42^2))</f>
        <v>0</v>
      </c>
      <c r="AA220" s="73" t="b">
        <f>IF(ASIC!H42=Data!AA$180,ASIC!V42*(0.7^AB220)/(ASIC!L42^2))</f>
        <v>0</v>
      </c>
      <c r="AB220">
        <v>3</v>
      </c>
    </row>
    <row r="221" spans="2:28" x14ac:dyDescent="0.3">
      <c r="B221" s="68">
        <f>ASIC!D43</f>
        <v>2017</v>
      </c>
      <c r="C221" s="68">
        <f>ASIC!I43</f>
        <v>130</v>
      </c>
      <c r="D221" s="183">
        <v>2</v>
      </c>
      <c r="E221" s="68">
        <f>ASIC!L43</f>
        <v>1.2</v>
      </c>
      <c r="F221">
        <f t="shared" si="19"/>
        <v>7119.2136648473816</v>
      </c>
      <c r="G221">
        <f t="shared" si="20"/>
        <v>0</v>
      </c>
      <c r="H221">
        <f t="shared" si="21"/>
        <v>0</v>
      </c>
      <c r="I221">
        <f t="shared" si="22"/>
        <v>0</v>
      </c>
      <c r="J221">
        <f t="shared" si="23"/>
        <v>0</v>
      </c>
      <c r="L221" s="66">
        <v>2017</v>
      </c>
      <c r="M221" s="66">
        <v>7119.2136648473816</v>
      </c>
      <c r="N221" s="66"/>
      <c r="O221" s="66"/>
      <c r="P221" s="66"/>
      <c r="Q221" s="66"/>
      <c r="R221" s="168">
        <v>2017</v>
      </c>
      <c r="S221" s="104">
        <f t="shared" si="8"/>
        <v>7119.2136648473816</v>
      </c>
      <c r="U221">
        <f>ASIC!I43</f>
        <v>130</v>
      </c>
      <c r="V221" s="70">
        <f>ASIC!D43</f>
        <v>2017</v>
      </c>
      <c r="W221" s="73">
        <f>IF(ASIC!H43=Data!W$180,ASIC!V43*(0.7^AB221)/(ASIC!L43^2))</f>
        <v>4.0266770833333316</v>
      </c>
      <c r="X221" s="73" t="b">
        <f>IF(ASIC!H43=Data!X$180,ASIC!V43*(0.7^AB221)/(ASIC!L43^2))</f>
        <v>0</v>
      </c>
      <c r="Y221" s="73" t="b">
        <f>IF(ASIC!H43=Data!Y$180,ASIC!V43*(0.7^AB221)/(ASIC!L43^2))</f>
        <v>0</v>
      </c>
      <c r="Z221" s="73" t="b">
        <f>IF(ASIC!H43=Data!Z$180,ASIC!V43*(0.7^AB221)/(ASIC!L43^2))</f>
        <v>0</v>
      </c>
      <c r="AA221" s="73" t="b">
        <f>IF(ASIC!H43=Data!AA$180,ASIC!V43*(0.7^AB221)/(ASIC!L43^2))</f>
        <v>0</v>
      </c>
      <c r="AB221">
        <v>5</v>
      </c>
    </row>
    <row r="222" spans="2:28" x14ac:dyDescent="0.3">
      <c r="B222" s="68">
        <f>ASIC!D44</f>
        <v>2017</v>
      </c>
      <c r="C222" s="68">
        <f>ASIC!I44</f>
        <v>130</v>
      </c>
      <c r="D222" s="183">
        <v>2</v>
      </c>
      <c r="E222" s="68">
        <f>ASIC!L44</f>
        <v>1.2</v>
      </c>
      <c r="F222">
        <f t="shared" si="19"/>
        <v>7119.2136648473816</v>
      </c>
      <c r="G222">
        <f t="shared" si="20"/>
        <v>0</v>
      </c>
      <c r="H222">
        <f t="shared" si="21"/>
        <v>0</v>
      </c>
      <c r="I222">
        <f t="shared" si="22"/>
        <v>0</v>
      </c>
      <c r="J222">
        <f t="shared" si="23"/>
        <v>0</v>
      </c>
      <c r="L222" s="66">
        <v>2017</v>
      </c>
      <c r="M222" s="66">
        <v>7119.2136648473816</v>
      </c>
      <c r="N222" s="66"/>
      <c r="O222" s="66"/>
      <c r="P222" s="66"/>
      <c r="Q222" s="66"/>
      <c r="R222" s="168">
        <v>2017</v>
      </c>
      <c r="S222" s="104">
        <f t="shared" si="8"/>
        <v>7119.2136648473816</v>
      </c>
      <c r="U222">
        <f>ASIC!I44</f>
        <v>130</v>
      </c>
      <c r="V222" s="70">
        <f>ASIC!D44</f>
        <v>2017</v>
      </c>
      <c r="W222" s="73">
        <f>IF(ASIC!H44=Data!W$180,ASIC!V44*(0.7^AB222)/(ASIC!L44^2))</f>
        <v>4.0266770833333316</v>
      </c>
      <c r="X222" s="73" t="b">
        <f>IF(ASIC!H44=Data!X$180,ASIC!V44*(0.7^AB222)/(ASIC!L44^2))</f>
        <v>0</v>
      </c>
      <c r="Y222" s="73" t="b">
        <f>IF(ASIC!H44=Data!Y$180,ASIC!V44*(0.7^AB222)/(ASIC!L44^2))</f>
        <v>0</v>
      </c>
      <c r="Z222" s="73" t="b">
        <f>IF(ASIC!H44=Data!Z$180,ASIC!V44*(0.7^AB222)/(ASIC!L44^2))</f>
        <v>0</v>
      </c>
      <c r="AA222" s="73" t="b">
        <f>IF(ASIC!H44=Data!AA$180,ASIC!V44*(0.7^AB222)/(ASIC!L44^2))</f>
        <v>0</v>
      </c>
      <c r="AB222">
        <v>5</v>
      </c>
    </row>
    <row r="223" spans="2:28" x14ac:dyDescent="0.3">
      <c r="B223" s="68">
        <f>ASIC!D45</f>
        <v>2017</v>
      </c>
      <c r="C223" s="68">
        <f>ASIC!I45</f>
        <v>14</v>
      </c>
      <c r="D223" s="183">
        <v>-4</v>
      </c>
      <c r="E223" s="68">
        <f>ASIC!L45</f>
        <v>0.65</v>
      </c>
      <c r="F223">
        <f t="shared" si="19"/>
        <v>0</v>
      </c>
      <c r="G223">
        <f t="shared" si="20"/>
        <v>0</v>
      </c>
      <c r="H223">
        <f t="shared" si="21"/>
        <v>0</v>
      </c>
      <c r="I223">
        <f t="shared" si="22"/>
        <v>0</v>
      </c>
      <c r="J223">
        <f t="shared" si="23"/>
        <v>0</v>
      </c>
      <c r="L223" s="66">
        <v>2017</v>
      </c>
      <c r="M223" s="66"/>
      <c r="N223" s="66"/>
      <c r="O223" s="66"/>
      <c r="P223" s="66"/>
      <c r="Q223" s="66"/>
      <c r="R223" s="168">
        <v>2017</v>
      </c>
      <c r="S223" s="104"/>
      <c r="U223">
        <f>ASIC!I45</f>
        <v>14</v>
      </c>
      <c r="V223" s="70">
        <f>ASIC!D45</f>
        <v>2017</v>
      </c>
      <c r="W223" s="73" t="b">
        <f>IF(ASIC!H45=Data!W$180,ASIC!V45*(0.7^AB223)/(ASIC!L45^2))</f>
        <v>0</v>
      </c>
      <c r="X223" s="73" t="b">
        <f>IF(ASIC!H45=Data!X$180,ASIC!V45*(0.7^AB223)/(ASIC!L45^2))</f>
        <v>0</v>
      </c>
      <c r="Y223" s="73" t="b">
        <f>IF(ASIC!H45=Data!Y$180,ASIC!V45*(0.7^AB223)/(ASIC!L45^2))</f>
        <v>0</v>
      </c>
      <c r="Z223" s="73">
        <f>IF(ASIC!H45=Data!Z$180,ASIC!V45*(0.7^AB223)/(ASIC!L45^2))</f>
        <v>1.3524936601859678E-2</v>
      </c>
      <c r="AA223" s="73" t="b">
        <f>IF(ASIC!H45=Data!AA$180,ASIC!V45*(0.7^AB223)/(ASIC!L45^2))</f>
        <v>0</v>
      </c>
      <c r="AB223">
        <v>-1</v>
      </c>
    </row>
    <row r="224" spans="2:28" x14ac:dyDescent="0.3">
      <c r="B224" s="68">
        <f>ASIC!D46</f>
        <v>2017</v>
      </c>
      <c r="C224" s="68">
        <f>ASIC!I46</f>
        <v>130</v>
      </c>
      <c r="D224" s="183">
        <v>2</v>
      </c>
      <c r="E224" s="68">
        <f>ASIC!L46</f>
        <v>1.2</v>
      </c>
      <c r="F224">
        <f t="shared" si="19"/>
        <v>2269.8942119803246</v>
      </c>
      <c r="G224">
        <f t="shared" si="20"/>
        <v>0</v>
      </c>
      <c r="H224">
        <f t="shared" si="21"/>
        <v>0</v>
      </c>
      <c r="I224">
        <f t="shared" si="22"/>
        <v>0</v>
      </c>
      <c r="J224">
        <f t="shared" si="23"/>
        <v>0</v>
      </c>
      <c r="L224" s="66">
        <v>2017</v>
      </c>
      <c r="M224" s="66">
        <v>2269.8942119803246</v>
      </c>
      <c r="N224" s="66"/>
      <c r="O224" s="66"/>
      <c r="P224" s="66"/>
      <c r="Q224" s="66"/>
      <c r="R224" s="168">
        <v>2017</v>
      </c>
      <c r="S224" s="104">
        <f t="shared" si="8"/>
        <v>2269.8942119803246</v>
      </c>
      <c r="U224">
        <f>ASIC!I46</f>
        <v>130</v>
      </c>
      <c r="V224" s="70">
        <f>ASIC!D46</f>
        <v>2017</v>
      </c>
      <c r="W224" s="73">
        <f>IF(ASIC!H46=Data!W$180,ASIC!V46*(0.7^AB224)/(ASIC!L46^2))</f>
        <v>1.2838680555555551</v>
      </c>
      <c r="X224" s="73" t="b">
        <f>IF(ASIC!H46=Data!X$180,ASIC!V46*(0.7^AB224)/(ASIC!L46^2))</f>
        <v>0</v>
      </c>
      <c r="Y224" s="73" t="b">
        <f>IF(ASIC!H46=Data!Y$180,ASIC!V46*(0.7^AB224)/(ASIC!L46^2))</f>
        <v>0</v>
      </c>
      <c r="Z224" s="73" t="b">
        <f>IF(ASIC!H46=Data!Z$180,ASIC!V46*(0.7^AB224)/(ASIC!L46^2))</f>
        <v>0</v>
      </c>
      <c r="AA224" s="73" t="b">
        <f>IF(ASIC!H46=Data!AA$180,ASIC!V46*(0.7^AB224)/(ASIC!L46^2))</f>
        <v>0</v>
      </c>
      <c r="AB224">
        <v>5</v>
      </c>
    </row>
    <row r="225" spans="2:28" x14ac:dyDescent="0.3">
      <c r="B225" s="68">
        <f>ASIC!D47</f>
        <v>2017</v>
      </c>
      <c r="C225" s="68">
        <f>ASIC!I47</f>
        <v>40</v>
      </c>
      <c r="D225" s="183">
        <v>-1</v>
      </c>
      <c r="E225" s="68">
        <f>ASIC!L47</f>
        <v>0.9</v>
      </c>
      <c r="F225">
        <f t="shared" si="19"/>
        <v>0</v>
      </c>
      <c r="G225">
        <f t="shared" si="20"/>
        <v>0</v>
      </c>
      <c r="H225">
        <f t="shared" si="21"/>
        <v>0</v>
      </c>
      <c r="I225">
        <f t="shared" si="22"/>
        <v>0</v>
      </c>
      <c r="J225">
        <f t="shared" si="23"/>
        <v>1.0909289259804724</v>
      </c>
      <c r="L225" s="66">
        <v>2017</v>
      </c>
      <c r="M225" s="66"/>
      <c r="N225" s="66"/>
      <c r="O225" s="66"/>
      <c r="P225" s="66"/>
      <c r="Q225" s="66">
        <v>1.0909289259804724</v>
      </c>
      <c r="R225" s="168">
        <v>2017</v>
      </c>
      <c r="S225" s="104">
        <f t="shared" si="8"/>
        <v>1.0909289259804724</v>
      </c>
      <c r="U225">
        <f>ASIC!I47</f>
        <v>40</v>
      </c>
      <c r="V225" s="70">
        <f>ASIC!D47</f>
        <v>2017</v>
      </c>
      <c r="W225" s="73" t="b">
        <f>IF(ASIC!H47=Data!W$180,ASIC!V47*(0.7^AB225)/(ASIC!L47^2))</f>
        <v>0</v>
      </c>
      <c r="X225" s="73" t="b">
        <f>IF(ASIC!H47=Data!X$180,ASIC!V47*(0.7^AB225)/(ASIC!L47^2))</f>
        <v>0</v>
      </c>
      <c r="Y225" s="73" t="b">
        <f>IF(ASIC!H47=Data!Y$180,ASIC!V47*(0.7^AB225)/(ASIC!L47^2))</f>
        <v>0</v>
      </c>
      <c r="Z225" s="73" t="b">
        <f>IF(ASIC!H47=Data!Z$180,ASIC!V47*(0.7^AB225)/(ASIC!L47^2))</f>
        <v>0</v>
      </c>
      <c r="AA225" s="73">
        <f>IF(ASIC!H47=Data!AA$180,ASIC!V47*(0.7^AB225)/(ASIC!L47^2))</f>
        <v>6.1703703703703703E-4</v>
      </c>
      <c r="AB225">
        <v>2</v>
      </c>
    </row>
    <row r="226" spans="2:28" x14ac:dyDescent="0.3">
      <c r="B226" s="68">
        <f>ASIC!D48</f>
        <v>2018</v>
      </c>
      <c r="C226" s="68">
        <f>ASIC!I48</f>
        <v>55</v>
      </c>
      <c r="D226" s="183">
        <v>0</v>
      </c>
      <c r="E226" s="68">
        <f>ASIC!L48</f>
        <v>1</v>
      </c>
      <c r="F226">
        <f t="shared" si="19"/>
        <v>3153.4263189812009</v>
      </c>
      <c r="G226">
        <f t="shared" si="20"/>
        <v>0</v>
      </c>
      <c r="H226">
        <f t="shared" si="21"/>
        <v>0</v>
      </c>
      <c r="I226">
        <f t="shared" si="22"/>
        <v>0</v>
      </c>
      <c r="J226">
        <f t="shared" si="23"/>
        <v>0</v>
      </c>
      <c r="L226" s="66">
        <v>2018</v>
      </c>
      <c r="M226" s="66">
        <v>3153.4263189812009</v>
      </c>
      <c r="N226" s="66"/>
      <c r="O226" s="66"/>
      <c r="P226" s="66"/>
      <c r="Q226" s="66"/>
      <c r="R226" s="168">
        <v>2018</v>
      </c>
      <c r="S226" s="104">
        <f t="shared" si="8"/>
        <v>3153.4263189812009</v>
      </c>
      <c r="U226">
        <f>ASIC!I48</f>
        <v>55</v>
      </c>
      <c r="V226" s="70">
        <f>ASIC!D48</f>
        <v>2018</v>
      </c>
      <c r="W226" s="73">
        <f>IF(ASIC!H48=Data!W$180,ASIC!V48*(0.7^AB226)/(ASIC!L48^2))</f>
        <v>1.7835999999999996</v>
      </c>
      <c r="X226" s="73" t="b">
        <f>IF(ASIC!H48=Data!X$180,ASIC!V48*(0.7^AB226)/(ASIC!L48^2))</f>
        <v>0</v>
      </c>
      <c r="Y226" s="73" t="b">
        <f>IF(ASIC!H48=Data!Y$180,ASIC!V48*(0.7^AB226)/(ASIC!L48^2))</f>
        <v>0</v>
      </c>
      <c r="Z226" s="73" t="b">
        <f>IF(ASIC!H48=Data!Z$180,ASIC!V48*(0.7^AB226)/(ASIC!L48^2))</f>
        <v>0</v>
      </c>
      <c r="AA226" s="73" t="b">
        <f>IF(ASIC!H48=Data!AA$180,ASIC!V48*(0.7^AB226)/(ASIC!L48^2))</f>
        <v>0</v>
      </c>
      <c r="AB226">
        <v>3</v>
      </c>
    </row>
    <row r="227" spans="2:28" x14ac:dyDescent="0.3">
      <c r="B227" s="68">
        <f>ASIC!D49</f>
        <v>2018</v>
      </c>
      <c r="C227" s="68">
        <f>ASIC!I49</f>
        <v>65</v>
      </c>
      <c r="D227" s="183">
        <v>0</v>
      </c>
      <c r="E227" s="68">
        <f>ASIC!L49</f>
        <v>1</v>
      </c>
      <c r="F227">
        <f t="shared" si="19"/>
        <v>230.4426925409339</v>
      </c>
      <c r="G227">
        <f t="shared" si="20"/>
        <v>0</v>
      </c>
      <c r="H227">
        <f t="shared" si="21"/>
        <v>0</v>
      </c>
      <c r="I227">
        <f t="shared" si="22"/>
        <v>0</v>
      </c>
      <c r="J227">
        <f t="shared" si="23"/>
        <v>0</v>
      </c>
      <c r="L227" s="66">
        <v>2018</v>
      </c>
      <c r="M227" s="66">
        <v>230.4426925409339</v>
      </c>
      <c r="N227" s="66"/>
      <c r="O227" s="66"/>
      <c r="P227" s="66"/>
      <c r="Q227" s="66"/>
      <c r="R227" s="168">
        <v>2018</v>
      </c>
      <c r="S227" s="104">
        <f t="shared" si="8"/>
        <v>230.4426925409339</v>
      </c>
      <c r="U227">
        <f>ASIC!I49</f>
        <v>65</v>
      </c>
      <c r="V227" s="70">
        <f>ASIC!D49</f>
        <v>2018</v>
      </c>
      <c r="W227" s="73">
        <f>IF(ASIC!H49=Data!W$180,ASIC!V49*(0.7^AB227)/(ASIC!L49^2))</f>
        <v>0.13033999999999996</v>
      </c>
      <c r="X227" s="73" t="b">
        <f>IF(ASIC!H49=Data!X$180,ASIC!V49*(0.7^AB227)/(ASIC!L49^2))</f>
        <v>0</v>
      </c>
      <c r="Y227" s="73" t="b">
        <f>IF(ASIC!H49=Data!Y$180,ASIC!V49*(0.7^AB227)/(ASIC!L49^2))</f>
        <v>0</v>
      </c>
      <c r="Z227" s="73" t="b">
        <f>IF(ASIC!H49=Data!Z$180,ASIC!V49*(0.7^AB227)/(ASIC!L49^2))</f>
        <v>0</v>
      </c>
      <c r="AA227" s="73" t="b">
        <f>IF(ASIC!H49=Data!AA$180,ASIC!V49*(0.7^AB227)/(ASIC!L49^2))</f>
        <v>0</v>
      </c>
      <c r="AB227">
        <v>3</v>
      </c>
    </row>
    <row r="228" spans="2:28" x14ac:dyDescent="0.3">
      <c r="B228" s="68">
        <f>ASIC!D50</f>
        <v>2018</v>
      </c>
      <c r="C228" s="68">
        <f>ASIC!I50</f>
        <v>180</v>
      </c>
      <c r="D228" s="183">
        <v>3</v>
      </c>
      <c r="E228" s="68">
        <f>ASIC!L50</f>
        <v>1.2</v>
      </c>
      <c r="F228">
        <f t="shared" si="19"/>
        <v>1415.5885721986385</v>
      </c>
      <c r="G228">
        <f t="shared" si="20"/>
        <v>0</v>
      </c>
      <c r="H228">
        <f t="shared" si="21"/>
        <v>0</v>
      </c>
      <c r="I228">
        <f t="shared" si="22"/>
        <v>0</v>
      </c>
      <c r="J228">
        <f t="shared" si="23"/>
        <v>0</v>
      </c>
      <c r="L228" s="66">
        <v>2018</v>
      </c>
      <c r="M228" s="66">
        <v>1415.5885721986385</v>
      </c>
      <c r="N228" s="66"/>
      <c r="O228" s="66"/>
      <c r="P228" s="66"/>
      <c r="Q228" s="66"/>
      <c r="R228" s="168">
        <v>2018</v>
      </c>
      <c r="S228" s="104">
        <f t="shared" si="8"/>
        <v>1415.5885721986385</v>
      </c>
      <c r="U228">
        <f>ASIC!I50</f>
        <v>180</v>
      </c>
      <c r="V228" s="70">
        <f>ASIC!D50</f>
        <v>2018</v>
      </c>
      <c r="W228" s="73">
        <f>IF(ASIC!H50=Data!W$180,ASIC!V50*(0.7^AB228)/(ASIC!L50^2))</f>
        <v>0.80066680555555536</v>
      </c>
      <c r="X228" s="73" t="b">
        <f>IF(ASIC!H50=Data!X$180,ASIC!V50*(0.7^AB228)/(ASIC!L50^2))</f>
        <v>0</v>
      </c>
      <c r="Y228" s="73" t="b">
        <f>IF(ASIC!H50=Data!Y$180,ASIC!V50*(0.7^AB228)/(ASIC!L50^2))</f>
        <v>0</v>
      </c>
      <c r="Z228" s="73" t="b">
        <f>IF(ASIC!H50=Data!Z$180,ASIC!V50*(0.7^AB228)/(ASIC!L50^2))</f>
        <v>0</v>
      </c>
      <c r="AA228" s="73" t="b">
        <f>IF(ASIC!H50=Data!AA$180,ASIC!V50*(0.7^AB228)/(ASIC!L50^2))</f>
        <v>0</v>
      </c>
      <c r="AB228">
        <v>6</v>
      </c>
    </row>
    <row r="229" spans="2:28" x14ac:dyDescent="0.3">
      <c r="B229" s="68">
        <f>ASIC!D51</f>
        <v>2018</v>
      </c>
      <c r="C229" s="68">
        <f>ASIC!I51</f>
        <v>180</v>
      </c>
      <c r="D229" s="183">
        <v>3</v>
      </c>
      <c r="E229" s="68">
        <f>ASIC!L51</f>
        <v>1.2</v>
      </c>
      <c r="F229">
        <f t="shared" si="19"/>
        <v>520.01212856276516</v>
      </c>
      <c r="G229">
        <f t="shared" si="20"/>
        <v>0</v>
      </c>
      <c r="H229">
        <f t="shared" si="21"/>
        <v>0</v>
      </c>
      <c r="I229">
        <f t="shared" si="22"/>
        <v>0</v>
      </c>
      <c r="J229">
        <f t="shared" si="23"/>
        <v>0</v>
      </c>
      <c r="L229" s="66">
        <v>2018</v>
      </c>
      <c r="M229" s="66">
        <v>520.01212856276516</v>
      </c>
      <c r="N229" s="66"/>
      <c r="O229" s="66"/>
      <c r="P229" s="66"/>
      <c r="Q229" s="66"/>
      <c r="R229" s="168">
        <v>2018</v>
      </c>
      <c r="S229" s="104">
        <f t="shared" si="8"/>
        <v>520.01212856276516</v>
      </c>
      <c r="U229">
        <f>ASIC!I51</f>
        <v>180</v>
      </c>
      <c r="V229" s="70">
        <f>ASIC!D51</f>
        <v>2018</v>
      </c>
      <c r="W229" s="73">
        <f>IF(ASIC!H51=Data!W$180,ASIC!V51*(0.7^AB229)/(ASIC!L51^2))</f>
        <v>0.2941224999999999</v>
      </c>
      <c r="X229" s="73" t="b">
        <f>IF(ASIC!H51=Data!X$180,ASIC!V51*(0.7^AB229)/(ASIC!L51^2))</f>
        <v>0</v>
      </c>
      <c r="Y229" s="73" t="b">
        <f>IF(ASIC!H51=Data!Y$180,ASIC!V51*(0.7^AB229)/(ASIC!L51^2))</f>
        <v>0</v>
      </c>
      <c r="Z229" s="73" t="b">
        <f>IF(ASIC!H51=Data!Z$180,ASIC!V51*(0.7^AB229)/(ASIC!L51^2))</f>
        <v>0</v>
      </c>
      <c r="AA229" s="73" t="b">
        <f>IF(ASIC!H51=Data!AA$180,ASIC!V51*(0.7^AB229)/(ASIC!L51^2))</f>
        <v>0</v>
      </c>
      <c r="AB229">
        <v>6</v>
      </c>
    </row>
    <row r="230" spans="2:28" x14ac:dyDescent="0.3">
      <c r="B230" s="68">
        <f>ASIC!D52</f>
        <v>2018</v>
      </c>
      <c r="C230" s="68">
        <f>ASIC!I52</f>
        <v>40</v>
      </c>
      <c r="D230" s="183">
        <v>-1</v>
      </c>
      <c r="E230" s="68">
        <f>ASIC!L52</f>
        <v>1.2</v>
      </c>
      <c r="F230">
        <f t="shared" si="19"/>
        <v>0</v>
      </c>
      <c r="G230">
        <f t="shared" si="20"/>
        <v>0</v>
      </c>
      <c r="H230">
        <f t="shared" si="21"/>
        <v>0</v>
      </c>
      <c r="I230">
        <f t="shared" si="22"/>
        <v>0</v>
      </c>
      <c r="J230">
        <f t="shared" si="23"/>
        <v>0</v>
      </c>
      <c r="L230" s="66">
        <v>2018</v>
      </c>
      <c r="M230" s="66"/>
      <c r="N230" s="66"/>
      <c r="O230" s="66"/>
      <c r="P230" s="66"/>
      <c r="Q230" s="66"/>
      <c r="R230" s="168">
        <v>2018</v>
      </c>
      <c r="V230" s="70"/>
      <c r="W230" s="73"/>
      <c r="X230" s="73"/>
      <c r="Y230" s="73"/>
      <c r="Z230" s="73"/>
      <c r="AA230" s="73"/>
    </row>
    <row r="231" spans="2:28" x14ac:dyDescent="0.3">
      <c r="B231" s="68">
        <f>ASIC!D53</f>
        <v>2018</v>
      </c>
      <c r="C231" s="68">
        <f>ASIC!I53</f>
        <v>65</v>
      </c>
      <c r="D231" s="183">
        <v>0</v>
      </c>
      <c r="E231" s="68">
        <f>ASIC!L53</f>
        <v>0.5</v>
      </c>
      <c r="F231">
        <f t="shared" si="19"/>
        <v>0</v>
      </c>
      <c r="G231">
        <f t="shared" si="20"/>
        <v>0</v>
      </c>
      <c r="H231">
        <f t="shared" si="21"/>
        <v>0</v>
      </c>
      <c r="I231">
        <f t="shared" si="22"/>
        <v>0</v>
      </c>
      <c r="J231">
        <f t="shared" si="23"/>
        <v>0</v>
      </c>
      <c r="L231" s="66">
        <v>2018</v>
      </c>
      <c r="M231" s="66"/>
      <c r="N231" s="66"/>
      <c r="O231" s="66"/>
      <c r="P231" s="66"/>
      <c r="Q231" s="66"/>
      <c r="R231" s="168">
        <v>2018</v>
      </c>
      <c r="V231" s="70"/>
      <c r="W231" s="73"/>
      <c r="X231" s="73"/>
      <c r="Y231" s="73"/>
      <c r="Z231" s="73"/>
      <c r="AA231" s="73"/>
    </row>
    <row r="232" spans="2:28" x14ac:dyDescent="0.3">
      <c r="B232" s="68">
        <f>ASIC!D54</f>
        <v>2018</v>
      </c>
      <c r="C232" s="68">
        <f>ASIC!I54</f>
        <v>40</v>
      </c>
      <c r="D232" s="183">
        <v>-1</v>
      </c>
      <c r="E232" s="68">
        <f>ASIC!L54</f>
        <v>0.9</v>
      </c>
      <c r="F232">
        <f t="shared" si="19"/>
        <v>0</v>
      </c>
      <c r="G232">
        <f t="shared" si="20"/>
        <v>0</v>
      </c>
      <c r="H232">
        <f t="shared" si="21"/>
        <v>0</v>
      </c>
      <c r="I232">
        <f t="shared" si="22"/>
        <v>0</v>
      </c>
      <c r="J232">
        <f t="shared" si="23"/>
        <v>1.0909289259804724</v>
      </c>
      <c r="L232" s="66">
        <v>2018</v>
      </c>
      <c r="M232" s="66"/>
      <c r="N232" s="66"/>
      <c r="O232" s="66"/>
      <c r="P232" s="66"/>
      <c r="Q232" s="66">
        <v>1.0909289259804724</v>
      </c>
      <c r="R232" s="168">
        <v>2018</v>
      </c>
      <c r="V232" s="70"/>
      <c r="W232" s="73"/>
      <c r="X232" s="73"/>
      <c r="Y232" s="73"/>
      <c r="Z232" s="73"/>
      <c r="AA232" s="73"/>
    </row>
    <row r="233" spans="2:28" x14ac:dyDescent="0.3">
      <c r="B233" s="68">
        <f>ASIC!D55</f>
        <v>2018</v>
      </c>
      <c r="C233" s="68">
        <f>ASIC!I55</f>
        <v>65</v>
      </c>
      <c r="D233" s="183">
        <v>0</v>
      </c>
      <c r="E233" s="68">
        <f>ASIC!L55</f>
        <v>3.15</v>
      </c>
      <c r="F233">
        <f t="shared" si="19"/>
        <v>733.39759729779655</v>
      </c>
      <c r="G233">
        <f t="shared" si="20"/>
        <v>0</v>
      </c>
      <c r="H233">
        <f t="shared" si="21"/>
        <v>0</v>
      </c>
      <c r="I233">
        <f t="shared" si="22"/>
        <v>0</v>
      </c>
      <c r="J233">
        <f t="shared" si="23"/>
        <v>0</v>
      </c>
      <c r="L233" s="66">
        <v>2018</v>
      </c>
      <c r="M233" s="66">
        <v>733.39759729779655</v>
      </c>
      <c r="N233" s="66"/>
      <c r="O233" s="66"/>
      <c r="P233" s="66"/>
      <c r="Q233" s="66"/>
      <c r="R233" s="168">
        <v>2018</v>
      </c>
      <c r="V233" s="70"/>
      <c r="W233" s="73"/>
      <c r="X233" s="73"/>
      <c r="Y233" s="73"/>
      <c r="Z233" s="73"/>
      <c r="AA233" s="73"/>
    </row>
    <row r="234" spans="2:28" x14ac:dyDescent="0.3">
      <c r="B234" s="68"/>
      <c r="V234" s="70"/>
      <c r="W234" s="73"/>
      <c r="X234" s="73"/>
      <c r="Y234" s="73"/>
      <c r="Z234" s="73"/>
      <c r="AA234" s="73"/>
    </row>
    <row r="235" spans="2:28" x14ac:dyDescent="0.3">
      <c r="B235" s="68"/>
      <c r="V235" s="70"/>
      <c r="W235" s="73"/>
      <c r="X235" s="73"/>
      <c r="Y235" s="73"/>
      <c r="Z235" s="73"/>
      <c r="AA235" s="73"/>
    </row>
    <row r="236" spans="2:28" x14ac:dyDescent="0.3">
      <c r="B236" s="76"/>
      <c r="V236" s="70"/>
      <c r="W236" s="73"/>
      <c r="X236" s="73"/>
      <c r="Y236" s="73"/>
      <c r="Z236" s="73"/>
      <c r="AA236" s="73"/>
    </row>
    <row r="237" spans="2:28" x14ac:dyDescent="0.3">
      <c r="B237" s="76"/>
      <c r="V237" s="70"/>
      <c r="W237" s="73"/>
      <c r="X237" s="73"/>
      <c r="Y237" s="73"/>
      <c r="Z237" s="73"/>
      <c r="AA237" s="73"/>
    </row>
    <row r="238" spans="2:28" x14ac:dyDescent="0.3">
      <c r="B238" s="76"/>
      <c r="V238" s="70"/>
      <c r="W238" s="73"/>
      <c r="X238" s="73"/>
      <c r="Y238" s="73"/>
      <c r="Z238" s="73"/>
      <c r="AA238" s="73"/>
    </row>
    <row r="239" spans="2:28" x14ac:dyDescent="0.3">
      <c r="B239" s="76"/>
      <c r="V239" s="70"/>
      <c r="W239" s="73"/>
      <c r="X239" s="73"/>
      <c r="Y239" s="73"/>
      <c r="Z239" s="73"/>
      <c r="AA239" s="73"/>
    </row>
    <row r="240" spans="2:28" x14ac:dyDescent="0.3">
      <c r="C240" s="76" t="s">
        <v>139</v>
      </c>
      <c r="V240" s="70"/>
      <c r="W240" s="73"/>
      <c r="X240" s="73"/>
      <c r="Y240" s="73"/>
      <c r="Z240" s="73"/>
      <c r="AA240" s="73"/>
    </row>
    <row r="241" spans="2:27" x14ac:dyDescent="0.3">
      <c r="V241" s="70"/>
      <c r="W241" s="73"/>
      <c r="X241" s="73"/>
      <c r="Y241" s="73"/>
      <c r="Z241" s="73"/>
      <c r="AA241" s="73"/>
    </row>
    <row r="242" spans="2:27" x14ac:dyDescent="0.3">
      <c r="B242" t="s">
        <v>198</v>
      </c>
      <c r="D242">
        <v>1.649</v>
      </c>
      <c r="E242">
        <f>0.000000000000001649/0.000000000001</f>
        <v>1.6490000000000001E-3</v>
      </c>
      <c r="V242" s="70"/>
      <c r="W242" s="73"/>
      <c r="X242" s="73"/>
      <c r="Y242" s="73"/>
      <c r="Z242" s="73"/>
      <c r="AA242" s="73"/>
    </row>
    <row r="244" spans="2:27" x14ac:dyDescent="0.3">
      <c r="X244" s="167" t="s">
        <v>139</v>
      </c>
    </row>
  </sheetData>
  <sheetProtection algorithmName="SHA-512" hashValue="jhIAJ9sGN2lCSR0TW1EQy1ORIs1NI6A/pbzPnsJQOZrtjFzDiuCbv+eYm7DXGMz5Kih2nuSfs+OjDDGQS4+s+Q==" saltValue="n822pRsE5LXixpS1tlNsJw==" spinCount="100000" sheet="1" objects="1" scenarios="1" selectLockedCells="1" selectUnlockedCells="1"/>
  <conditionalFormatting sqref="S230:S1048576 S1:S179">
    <cfRule type="colorScale" priority="16">
      <colorScale>
        <cfvo type="min"/>
        <cfvo type="percentile" val="50"/>
        <cfvo type="max"/>
        <color rgb="FFF8696B"/>
        <color rgb="FFFFEB84"/>
        <color rgb="FF63BE7B"/>
      </colorScale>
    </cfRule>
  </conditionalFormatting>
  <conditionalFormatting sqref="T2:T51">
    <cfRule type="colorScale" priority="11">
      <colorScale>
        <cfvo type="min"/>
        <cfvo type="percentile" val="50"/>
        <cfvo type="max"/>
        <color rgb="FFF8696B"/>
        <color rgb="FFFFEB84"/>
        <color rgb="FF63BE7B"/>
      </colorScale>
    </cfRule>
  </conditionalFormatting>
  <conditionalFormatting sqref="T2:T51">
    <cfRule type="colorScale" priority="10">
      <colorScale>
        <cfvo type="min"/>
        <cfvo type="percentile" val="50"/>
        <cfvo type="max"/>
        <color rgb="FFF8696B"/>
        <color rgb="FFFFEB84"/>
        <color rgb="FF63BE7B"/>
      </colorScale>
    </cfRule>
  </conditionalFormatting>
  <conditionalFormatting sqref="S2:S54">
    <cfRule type="colorScale" priority="3">
      <colorScale>
        <cfvo type="min"/>
        <cfvo type="percentile" val="50"/>
        <cfvo type="max"/>
        <color rgb="FF00B050"/>
        <color rgb="FFFFEB84"/>
        <color rgb="FFFF0000"/>
      </colorScale>
    </cfRule>
    <cfRule type="colorScale" priority="19">
      <colorScale>
        <cfvo type="min"/>
        <cfvo type="percentile" val="50"/>
        <cfvo type="max"/>
        <color rgb="FFF8696B"/>
        <color rgb="FFFFEB84"/>
        <color rgb="FF63BE7B"/>
      </colorScale>
    </cfRule>
  </conditionalFormatting>
  <conditionalFormatting sqref="S61:S109 S111 S113">
    <cfRule type="colorScale" priority="4">
      <colorScale>
        <cfvo type="min"/>
        <cfvo type="percentile" val="50"/>
        <cfvo type="max"/>
        <color rgb="FF00B050"/>
        <color rgb="FFFFEB84"/>
        <color rgb="FFFF0000"/>
      </colorScale>
    </cfRule>
    <cfRule type="colorScale" priority="22">
      <colorScale>
        <cfvo type="min"/>
        <cfvo type="percentile" val="50"/>
        <cfvo type="max"/>
        <color rgb="FFF8696B"/>
        <color rgb="FFFFEB84"/>
        <color rgb="FF63BE7B"/>
      </colorScale>
    </cfRule>
  </conditionalFormatting>
  <conditionalFormatting sqref="S123:S171">
    <cfRule type="colorScale" priority="6">
      <colorScale>
        <cfvo type="min"/>
        <cfvo type="percentile" val="50"/>
        <cfvo type="max"/>
        <color rgb="FF00B050"/>
        <color rgb="FFFFEB84"/>
        <color rgb="FFFF0000"/>
      </colorScale>
    </cfRule>
    <cfRule type="colorScale" priority="25">
      <colorScale>
        <cfvo type="min"/>
        <cfvo type="percentile" val="50"/>
        <cfvo type="max"/>
        <color rgb="FFF8696B"/>
        <color rgb="FFFFEB84"/>
        <color rgb="FF63BE7B"/>
      </colorScale>
    </cfRule>
  </conditionalFormatting>
  <conditionalFormatting sqref="S180:S229">
    <cfRule type="colorScale" priority="27">
      <colorScale>
        <cfvo type="min"/>
        <cfvo type="percentile" val="50"/>
        <cfvo type="max"/>
        <color rgb="FFF8696B"/>
        <color rgb="FFFFEB84"/>
        <color rgb="FF63BE7B"/>
      </colorScale>
    </cfRule>
  </conditionalFormatting>
  <conditionalFormatting sqref="S181:S229">
    <cfRule type="colorScale" priority="5">
      <colorScale>
        <cfvo type="min"/>
        <cfvo type="percentile" val="50"/>
        <cfvo type="max"/>
        <color rgb="FF00B050"/>
        <color rgb="FFFFEB84"/>
        <color rgb="FFFF0000"/>
      </colorScale>
    </cfRule>
    <cfRule type="colorScale" priority="29">
      <colorScale>
        <cfvo type="min"/>
        <cfvo type="percentile" val="50"/>
        <cfvo type="max"/>
        <color rgb="FFF8696B"/>
        <color rgb="FFFFEB84"/>
        <color rgb="FF63BE7B"/>
      </colorScale>
    </cfRule>
  </conditionalFormatting>
  <conditionalFormatting sqref="S110 S112">
    <cfRule type="colorScale" priority="1">
      <colorScale>
        <cfvo type="min"/>
        <cfvo type="percentile" val="50"/>
        <cfvo type="max"/>
        <color rgb="FF00B050"/>
        <color rgb="FFFFEB84"/>
        <color rgb="FFFF0000"/>
      </colorScale>
    </cfRule>
    <cfRule type="colorScale" priority="2">
      <colorScale>
        <cfvo type="min"/>
        <cfvo type="percentile" val="50"/>
        <cfvo type="max"/>
        <color rgb="FFF8696B"/>
        <color rgb="FFFFEB84"/>
        <color rgb="FF63BE7B"/>
      </colorScale>
    </cfRule>
  </conditionalFormatting>
  <pageMargins left="0.7" right="0.7" top="0.75" bottom="0.75" header="0.3" footer="0.3"/>
  <pageSetup paperSize="9"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77"/>
  <sheetViews>
    <sheetView zoomScale="115" zoomScaleNormal="115" workbookViewId="0">
      <selection activeCell="A64" sqref="A64"/>
    </sheetView>
  </sheetViews>
  <sheetFormatPr defaultRowHeight="14.4" x14ac:dyDescent="0.3"/>
  <cols>
    <col min="1" max="1" width="46.21875" customWidth="1"/>
  </cols>
  <sheetData>
    <row r="1" spans="1:12" x14ac:dyDescent="0.3">
      <c r="C1" s="12"/>
      <c r="D1" s="12"/>
      <c r="E1" s="12"/>
      <c r="F1" s="12"/>
      <c r="G1" s="12"/>
      <c r="H1" s="12"/>
      <c r="I1" s="12"/>
      <c r="J1" s="12"/>
      <c r="K1" s="12"/>
      <c r="L1" s="12"/>
    </row>
    <row r="2" spans="1:12" x14ac:dyDescent="0.3">
      <c r="A2" s="192" t="s">
        <v>241</v>
      </c>
      <c r="C2" s="12"/>
      <c r="D2" s="12"/>
      <c r="E2" s="12"/>
      <c r="F2" s="12"/>
      <c r="G2" s="12"/>
      <c r="H2" s="12"/>
      <c r="I2" s="12"/>
      <c r="J2" s="12"/>
      <c r="K2" s="12"/>
      <c r="L2" s="12"/>
    </row>
    <row r="3" spans="1:12" ht="15" customHeight="1" x14ac:dyDescent="0.3">
      <c r="A3" s="192"/>
      <c r="C3" s="12"/>
      <c r="D3" s="12"/>
      <c r="E3" s="12"/>
      <c r="F3" s="12"/>
      <c r="G3" s="12"/>
      <c r="H3" s="12"/>
      <c r="I3" s="12"/>
      <c r="J3" s="12"/>
      <c r="K3" s="12"/>
      <c r="L3" s="12"/>
    </row>
    <row r="4" spans="1:12" ht="15" customHeight="1" x14ac:dyDescent="0.3">
      <c r="A4" s="192"/>
      <c r="C4" s="12"/>
      <c r="D4" s="12"/>
      <c r="E4" s="12"/>
      <c r="F4" s="12"/>
      <c r="G4" s="12"/>
      <c r="H4" s="12"/>
      <c r="I4" s="12"/>
      <c r="J4" s="12"/>
      <c r="K4" s="12"/>
      <c r="L4" s="12"/>
    </row>
    <row r="5" spans="1:12" ht="15" customHeight="1" x14ac:dyDescent="0.3">
      <c r="A5" s="191" t="s">
        <v>242</v>
      </c>
      <c r="C5" s="12"/>
      <c r="D5" s="12"/>
      <c r="E5" s="12"/>
      <c r="F5" s="12"/>
      <c r="G5" s="12"/>
      <c r="H5" s="12"/>
      <c r="I5" s="12"/>
      <c r="J5" s="12"/>
      <c r="K5" s="12"/>
      <c r="L5" s="12"/>
    </row>
    <row r="6" spans="1:12" ht="15" customHeight="1" x14ac:dyDescent="0.3">
      <c r="A6" s="191"/>
      <c r="C6" s="12"/>
      <c r="D6" s="12"/>
      <c r="E6" s="12"/>
      <c r="F6" s="12"/>
      <c r="G6" s="12"/>
      <c r="H6" s="12"/>
      <c r="I6" s="12"/>
      <c r="J6" s="12"/>
      <c r="K6" s="12"/>
      <c r="L6" s="12"/>
    </row>
    <row r="7" spans="1:12" ht="15" customHeight="1" x14ac:dyDescent="0.3">
      <c r="A7" s="191"/>
      <c r="C7" s="12"/>
      <c r="D7" s="12"/>
      <c r="E7" s="12"/>
      <c r="F7" s="12"/>
      <c r="G7" s="12"/>
      <c r="H7" s="12"/>
      <c r="I7" s="12"/>
      <c r="J7" s="12"/>
      <c r="K7" s="12"/>
      <c r="L7" s="12"/>
    </row>
    <row r="8" spans="1:12" ht="15" customHeight="1" x14ac:dyDescent="0.3">
      <c r="A8" s="191"/>
      <c r="C8" s="12"/>
      <c r="D8" s="12"/>
      <c r="E8" s="12"/>
      <c r="F8" s="12"/>
      <c r="G8" s="12"/>
      <c r="H8" s="12"/>
      <c r="I8" s="12"/>
      <c r="J8" s="12"/>
      <c r="K8" s="12"/>
      <c r="L8" s="12"/>
    </row>
    <row r="9" spans="1:12" ht="19.8" customHeight="1" x14ac:dyDescent="0.3">
      <c r="A9" s="191"/>
      <c r="C9" s="12"/>
      <c r="D9" s="12"/>
      <c r="E9" s="12"/>
      <c r="F9" s="12"/>
      <c r="G9" s="12"/>
      <c r="H9" s="12"/>
      <c r="I9" s="12"/>
      <c r="J9" s="12"/>
      <c r="K9" s="12"/>
      <c r="L9" s="12"/>
    </row>
    <row r="10" spans="1:12" ht="15" customHeight="1" x14ac:dyDescent="0.3">
      <c r="A10" s="191" t="s">
        <v>243</v>
      </c>
      <c r="C10" s="12"/>
      <c r="D10" s="12"/>
      <c r="E10" s="12"/>
      <c r="F10" s="12"/>
      <c r="G10" s="12"/>
      <c r="H10" s="12"/>
      <c r="I10" s="12"/>
      <c r="J10" s="12"/>
      <c r="K10" s="12"/>
      <c r="L10" s="12"/>
    </row>
    <row r="11" spans="1:12" ht="15" customHeight="1" x14ac:dyDescent="0.3">
      <c r="A11" s="191"/>
      <c r="C11" s="12"/>
      <c r="D11" s="12"/>
      <c r="E11" s="12"/>
      <c r="F11" s="12"/>
      <c r="G11" s="12"/>
      <c r="H11" s="12"/>
      <c r="I11" s="12"/>
      <c r="J11" s="12"/>
      <c r="K11" s="12"/>
      <c r="L11" s="12"/>
    </row>
    <row r="12" spans="1:12" ht="15" customHeight="1" x14ac:dyDescent="0.3">
      <c r="A12" s="191"/>
      <c r="C12" s="12"/>
      <c r="D12" s="12"/>
      <c r="E12" s="12"/>
      <c r="F12" s="12"/>
      <c r="G12" s="12"/>
      <c r="H12" s="12"/>
      <c r="I12" s="12"/>
      <c r="J12" s="12"/>
      <c r="K12" s="12"/>
      <c r="L12" s="12"/>
    </row>
    <row r="13" spans="1:12" ht="15" customHeight="1" x14ac:dyDescent="0.3">
      <c r="A13" s="191"/>
      <c r="C13" s="12"/>
      <c r="D13" s="12"/>
      <c r="E13" s="12"/>
      <c r="F13" s="12"/>
      <c r="G13" s="12"/>
      <c r="H13" s="12"/>
      <c r="I13" s="12"/>
      <c r="J13" s="12"/>
      <c r="K13" s="12"/>
      <c r="L13" s="12"/>
    </row>
    <row r="14" spans="1:12" ht="15" customHeight="1" x14ac:dyDescent="0.3">
      <c r="A14" s="191"/>
      <c r="C14" s="12"/>
      <c r="D14" s="12"/>
      <c r="E14" s="12"/>
      <c r="F14" s="12"/>
      <c r="G14" s="12"/>
      <c r="H14" s="12"/>
      <c r="I14" s="12"/>
      <c r="J14" s="12"/>
      <c r="K14" s="12"/>
      <c r="L14" s="12"/>
    </row>
    <row r="15" spans="1:12" ht="15" customHeight="1" x14ac:dyDescent="0.3">
      <c r="A15" s="191"/>
      <c r="C15" s="12"/>
      <c r="D15" s="12"/>
      <c r="E15" s="12"/>
      <c r="F15" s="12"/>
      <c r="G15" s="12"/>
      <c r="H15" s="12"/>
      <c r="I15" s="12"/>
      <c r="J15" s="12"/>
      <c r="K15" s="12"/>
      <c r="L15" s="12"/>
    </row>
    <row r="16" spans="1:12" ht="15" customHeight="1" x14ac:dyDescent="0.3">
      <c r="A16" s="107"/>
      <c r="C16" s="12"/>
      <c r="D16" s="12"/>
      <c r="E16" s="12"/>
      <c r="F16" s="12"/>
      <c r="G16" s="12"/>
      <c r="H16" s="12"/>
      <c r="I16" s="12"/>
      <c r="J16" s="12"/>
      <c r="K16" s="12"/>
      <c r="L16" s="12"/>
    </row>
    <row r="17" spans="1:12" ht="15" customHeight="1" x14ac:dyDescent="0.3">
      <c r="A17" s="107"/>
      <c r="C17" s="12"/>
      <c r="D17" s="12"/>
      <c r="E17" s="12"/>
      <c r="F17" s="12"/>
      <c r="G17" s="12"/>
      <c r="H17" s="12"/>
      <c r="I17" s="12"/>
      <c r="J17" s="12"/>
      <c r="K17" s="12"/>
      <c r="L17" s="12"/>
    </row>
    <row r="18" spans="1:12" x14ac:dyDescent="0.3">
      <c r="C18" s="12"/>
      <c r="D18" s="12"/>
      <c r="E18" s="12"/>
      <c r="F18" s="12"/>
      <c r="G18" s="12"/>
      <c r="H18" s="12"/>
      <c r="I18" s="12"/>
      <c r="J18" s="12"/>
      <c r="K18" s="12"/>
      <c r="L18" s="12"/>
    </row>
    <row r="19" spans="1:12" x14ac:dyDescent="0.3">
      <c r="C19" s="12"/>
      <c r="D19" s="12"/>
      <c r="E19" s="12"/>
      <c r="F19" s="12"/>
      <c r="G19" s="12"/>
      <c r="H19" s="12"/>
      <c r="I19" s="12"/>
      <c r="J19" s="12"/>
      <c r="K19" s="12"/>
      <c r="L19" s="12"/>
    </row>
    <row r="20" spans="1:12" x14ac:dyDescent="0.3">
      <c r="C20" s="12"/>
      <c r="D20" s="12"/>
      <c r="E20" s="12"/>
      <c r="F20" s="12"/>
      <c r="G20" s="12"/>
      <c r="H20" s="12"/>
      <c r="I20" s="12"/>
      <c r="J20" s="12"/>
      <c r="K20" s="12"/>
      <c r="L20" s="12"/>
    </row>
    <row r="21" spans="1:12" x14ac:dyDescent="0.3">
      <c r="A21" s="192" t="s">
        <v>214</v>
      </c>
      <c r="C21" s="12"/>
      <c r="D21" s="12"/>
      <c r="E21" s="12"/>
      <c r="F21" s="12"/>
      <c r="G21" s="12"/>
      <c r="H21" s="12"/>
      <c r="I21" s="12"/>
      <c r="J21" s="12"/>
      <c r="K21" s="12"/>
      <c r="L21" s="12"/>
    </row>
    <row r="22" spans="1:12" ht="15" customHeight="1" x14ac:dyDescent="0.3">
      <c r="A22" s="192"/>
      <c r="C22" s="12"/>
      <c r="D22" s="12"/>
      <c r="E22" s="12"/>
      <c r="F22" s="12"/>
      <c r="G22" s="12"/>
      <c r="H22" s="12"/>
      <c r="I22" s="12"/>
      <c r="J22" s="12"/>
      <c r="K22" s="12"/>
      <c r="L22" s="12"/>
    </row>
    <row r="23" spans="1:12" ht="15" customHeight="1" x14ac:dyDescent="0.3">
      <c r="A23" s="192"/>
      <c r="C23" s="12"/>
      <c r="D23" s="12"/>
      <c r="E23" s="12"/>
      <c r="F23" s="12"/>
      <c r="G23" s="12"/>
      <c r="H23" s="12"/>
      <c r="I23" s="12"/>
      <c r="J23" s="12"/>
      <c r="K23" s="12"/>
      <c r="L23" s="12"/>
    </row>
    <row r="24" spans="1:12" ht="15" customHeight="1" x14ac:dyDescent="0.3">
      <c r="A24" s="191" t="s">
        <v>201</v>
      </c>
      <c r="C24" s="12"/>
      <c r="D24" s="12"/>
      <c r="E24" s="12"/>
      <c r="F24" s="12"/>
      <c r="G24" s="12"/>
      <c r="H24" s="12"/>
      <c r="I24" s="12"/>
      <c r="J24" s="12"/>
      <c r="K24" s="12"/>
      <c r="L24" s="12"/>
    </row>
    <row r="25" spans="1:12" ht="15" customHeight="1" x14ac:dyDescent="0.3">
      <c r="A25" s="191"/>
      <c r="C25" s="12"/>
      <c r="D25" s="12"/>
      <c r="E25" s="12"/>
      <c r="F25" s="12"/>
      <c r="G25" s="12"/>
      <c r="H25" s="12"/>
      <c r="I25" s="12"/>
      <c r="J25" s="12"/>
      <c r="K25" s="12"/>
      <c r="L25" s="12"/>
    </row>
    <row r="26" spans="1:12" ht="15" customHeight="1" x14ac:dyDescent="0.3">
      <c r="A26" s="191"/>
      <c r="C26" s="12"/>
      <c r="D26" s="12"/>
      <c r="E26" s="12"/>
      <c r="F26" s="12"/>
      <c r="G26" s="12"/>
      <c r="H26" s="12"/>
      <c r="I26" s="12"/>
      <c r="J26" s="12"/>
      <c r="K26" s="12"/>
      <c r="L26" s="12"/>
    </row>
    <row r="27" spans="1:12" ht="15" customHeight="1" x14ac:dyDescent="0.3">
      <c r="A27" s="191"/>
      <c r="C27" s="12"/>
      <c r="D27" s="12"/>
      <c r="E27" s="12"/>
      <c r="F27" s="12"/>
      <c r="G27" s="12"/>
      <c r="H27" s="12"/>
      <c r="I27" s="12"/>
      <c r="J27" s="12"/>
      <c r="K27" s="12"/>
      <c r="L27" s="12"/>
    </row>
    <row r="28" spans="1:12" ht="15" customHeight="1" x14ac:dyDescent="0.3">
      <c r="A28" s="191"/>
      <c r="C28" s="12"/>
      <c r="D28" s="12"/>
      <c r="E28" s="12"/>
      <c r="F28" s="12"/>
      <c r="G28" s="12"/>
      <c r="H28" s="12"/>
      <c r="I28" s="12"/>
      <c r="J28" s="12"/>
      <c r="K28" s="12"/>
      <c r="L28" s="12"/>
    </row>
    <row r="29" spans="1:12" ht="15" customHeight="1" x14ac:dyDescent="0.3">
      <c r="A29" s="191"/>
      <c r="C29" s="12"/>
      <c r="D29" s="12"/>
      <c r="E29" s="12"/>
      <c r="F29" s="12"/>
      <c r="G29" s="12"/>
      <c r="H29" s="12"/>
      <c r="I29" s="12"/>
      <c r="J29" s="12"/>
      <c r="K29" s="12"/>
      <c r="L29" s="12"/>
    </row>
    <row r="30" spans="1:12" ht="15" customHeight="1" x14ac:dyDescent="0.3">
      <c r="A30" s="107"/>
      <c r="C30" s="12"/>
      <c r="D30" s="12"/>
      <c r="E30" s="12"/>
      <c r="F30" s="12"/>
      <c r="G30" s="12"/>
      <c r="H30" s="12"/>
      <c r="I30" s="12"/>
      <c r="J30" s="12"/>
      <c r="K30" s="12"/>
      <c r="L30" s="12"/>
    </row>
    <row r="31" spans="1:12" ht="15" customHeight="1" x14ac:dyDescent="0.3">
      <c r="A31" s="107"/>
      <c r="C31" s="12"/>
      <c r="D31" s="12"/>
      <c r="E31" s="12"/>
      <c r="F31" s="12"/>
      <c r="G31" s="12"/>
      <c r="H31" s="12"/>
      <c r="I31" s="12"/>
      <c r="J31" s="12"/>
      <c r="K31" s="12"/>
      <c r="L31" s="12"/>
    </row>
    <row r="32" spans="1:12" ht="15" customHeight="1" x14ac:dyDescent="0.3">
      <c r="A32" s="107"/>
      <c r="C32" s="12"/>
      <c r="D32" s="12"/>
      <c r="E32" s="12"/>
      <c r="F32" s="12"/>
      <c r="G32" s="12"/>
      <c r="H32" s="12"/>
      <c r="I32" s="12"/>
      <c r="J32" s="12"/>
      <c r="K32" s="12"/>
      <c r="L32" s="12"/>
    </row>
    <row r="33" spans="1:12" ht="15" customHeight="1" x14ac:dyDescent="0.3">
      <c r="A33" s="107"/>
      <c r="C33" s="12"/>
      <c r="D33" s="12"/>
      <c r="E33" s="12"/>
      <c r="F33" s="12"/>
      <c r="G33" s="12"/>
      <c r="H33" s="12"/>
      <c r="I33" s="12"/>
      <c r="J33" s="12"/>
      <c r="K33" s="12"/>
      <c r="L33" s="12"/>
    </row>
    <row r="34" spans="1:12" ht="15" customHeight="1" x14ac:dyDescent="0.3">
      <c r="C34" s="12"/>
      <c r="D34" s="12"/>
      <c r="E34" s="12"/>
      <c r="F34" s="12"/>
      <c r="G34" s="12"/>
      <c r="H34" s="12"/>
      <c r="I34" s="12"/>
      <c r="J34" s="12"/>
      <c r="K34" s="12"/>
      <c r="L34" s="12"/>
    </row>
    <row r="35" spans="1:12" ht="15" customHeight="1" x14ac:dyDescent="0.3">
      <c r="A35" s="107"/>
      <c r="C35" s="12"/>
      <c r="D35" s="12"/>
      <c r="E35" s="12"/>
      <c r="F35" s="12"/>
      <c r="G35" s="12"/>
      <c r="H35" s="12"/>
      <c r="I35" s="12"/>
      <c r="J35" s="12"/>
      <c r="K35" s="12"/>
      <c r="L35" s="12"/>
    </row>
    <row r="36" spans="1:12" ht="15" customHeight="1" x14ac:dyDescent="0.3">
      <c r="A36" s="107"/>
      <c r="C36" s="12"/>
      <c r="D36" s="12"/>
      <c r="E36" s="12"/>
      <c r="F36" s="12"/>
      <c r="G36" s="12"/>
      <c r="H36" s="12"/>
      <c r="I36" s="12"/>
      <c r="J36" s="12"/>
      <c r="K36" s="12"/>
      <c r="L36" s="12"/>
    </row>
    <row r="37" spans="1:12" x14ac:dyDescent="0.3">
      <c r="C37" s="12"/>
      <c r="D37" s="12"/>
      <c r="E37" s="12"/>
      <c r="F37" s="12"/>
      <c r="G37" s="12"/>
      <c r="H37" s="12"/>
      <c r="I37" s="12"/>
      <c r="J37" s="12"/>
      <c r="K37" s="12"/>
      <c r="L37" s="12"/>
    </row>
    <row r="38" spans="1:12" x14ac:dyDescent="0.3">
      <c r="C38" s="12"/>
      <c r="D38" s="12"/>
      <c r="E38" s="12"/>
      <c r="F38" s="12"/>
      <c r="G38" s="12"/>
      <c r="H38" s="12"/>
      <c r="I38" s="12"/>
      <c r="J38" s="12"/>
      <c r="K38" s="12"/>
      <c r="L38" s="12"/>
    </row>
    <row r="39" spans="1:12" x14ac:dyDescent="0.3">
      <c r="C39" s="12"/>
      <c r="D39" s="12"/>
      <c r="E39" s="12"/>
      <c r="F39" s="12"/>
      <c r="G39" s="12"/>
      <c r="H39" s="12"/>
      <c r="I39" s="12"/>
      <c r="J39" s="12"/>
      <c r="K39" s="12"/>
      <c r="L39" s="12"/>
    </row>
    <row r="40" spans="1:12" x14ac:dyDescent="0.3">
      <c r="C40" s="12"/>
      <c r="D40" s="12"/>
      <c r="E40" s="12"/>
      <c r="F40" s="12"/>
      <c r="G40" s="12"/>
      <c r="H40" s="12"/>
      <c r="I40" s="12"/>
      <c r="J40" s="12"/>
      <c r="K40" s="12"/>
      <c r="L40" s="12"/>
    </row>
    <row r="41" spans="1:12" x14ac:dyDescent="0.3">
      <c r="A41" s="191" t="s">
        <v>244</v>
      </c>
      <c r="C41" s="12"/>
      <c r="D41" s="12"/>
      <c r="E41" s="12"/>
      <c r="F41" s="12"/>
      <c r="G41" s="12"/>
      <c r="H41" s="12"/>
      <c r="I41" s="12"/>
      <c r="J41" s="12"/>
      <c r="K41" s="12"/>
      <c r="L41" s="12"/>
    </row>
    <row r="42" spans="1:12" x14ac:dyDescent="0.3">
      <c r="A42" s="191"/>
      <c r="C42" s="12"/>
      <c r="D42" s="12"/>
      <c r="E42" s="12"/>
      <c r="F42" s="12"/>
      <c r="G42" s="12"/>
      <c r="H42" s="12"/>
      <c r="I42" s="12"/>
      <c r="J42" s="12"/>
      <c r="K42" s="12"/>
      <c r="L42" s="12"/>
    </row>
    <row r="43" spans="1:12" x14ac:dyDescent="0.3">
      <c r="A43" s="191"/>
      <c r="C43" s="12"/>
      <c r="D43" s="12"/>
      <c r="E43" s="12"/>
      <c r="F43" s="12"/>
      <c r="G43" s="12"/>
      <c r="H43" s="12"/>
      <c r="I43" s="12"/>
      <c r="J43" s="12"/>
      <c r="K43" s="12"/>
      <c r="L43" s="12"/>
    </row>
    <row r="44" spans="1:12" x14ac:dyDescent="0.3">
      <c r="A44" s="191"/>
      <c r="C44" s="12"/>
      <c r="D44" s="12"/>
      <c r="E44" s="12"/>
      <c r="F44" s="12"/>
      <c r="G44" s="12"/>
      <c r="H44" s="12"/>
      <c r="I44" s="12"/>
      <c r="J44" s="12"/>
      <c r="K44" s="12"/>
      <c r="L44" s="12"/>
    </row>
    <row r="45" spans="1:12" x14ac:dyDescent="0.3">
      <c r="A45" s="191"/>
      <c r="C45" s="12"/>
      <c r="D45" s="12"/>
      <c r="E45" s="12"/>
      <c r="F45" s="12"/>
      <c r="G45" s="12"/>
      <c r="H45" s="12"/>
      <c r="I45" s="12"/>
      <c r="J45" s="12"/>
      <c r="K45" s="12"/>
      <c r="L45" s="12"/>
    </row>
    <row r="46" spans="1:12" x14ac:dyDescent="0.3">
      <c r="A46" s="191"/>
      <c r="C46" s="12"/>
      <c r="D46" s="12"/>
      <c r="E46" s="12"/>
      <c r="F46" s="12"/>
      <c r="G46" s="12"/>
      <c r="H46" s="12"/>
      <c r="I46" s="12"/>
      <c r="J46" s="12"/>
      <c r="K46" s="12"/>
      <c r="L46" s="12"/>
    </row>
    <row r="47" spans="1:12" x14ac:dyDescent="0.3">
      <c r="A47" s="191"/>
      <c r="C47" s="12"/>
      <c r="D47" s="12"/>
      <c r="E47" s="12"/>
      <c r="F47" s="12"/>
      <c r="G47" s="12"/>
      <c r="H47" s="12"/>
      <c r="I47" s="12"/>
      <c r="J47" s="12"/>
      <c r="K47" s="12"/>
      <c r="L47" s="12"/>
    </row>
    <row r="48" spans="1:12" x14ac:dyDescent="0.3">
      <c r="A48" s="191"/>
      <c r="C48" s="12"/>
      <c r="D48" s="12"/>
      <c r="E48" s="12"/>
      <c r="F48" s="12"/>
      <c r="G48" s="12"/>
      <c r="H48" s="12"/>
      <c r="I48" s="12"/>
      <c r="J48" s="12"/>
      <c r="K48" s="12"/>
      <c r="L48" s="12"/>
    </row>
    <row r="49" spans="1:12" x14ac:dyDescent="0.3">
      <c r="A49" s="191"/>
      <c r="C49" s="12"/>
      <c r="D49" s="12"/>
      <c r="E49" s="12"/>
      <c r="F49" s="12"/>
      <c r="G49" s="12"/>
      <c r="H49" s="12"/>
      <c r="I49" s="12"/>
      <c r="J49" s="12"/>
      <c r="K49" s="12"/>
      <c r="L49" s="12"/>
    </row>
    <row r="50" spans="1:12" x14ac:dyDescent="0.3">
      <c r="A50" s="191"/>
      <c r="C50" s="12"/>
      <c r="D50" s="12"/>
      <c r="E50" s="12"/>
      <c r="F50" s="12"/>
      <c r="G50" s="12"/>
      <c r="H50" s="12"/>
      <c r="I50" s="12"/>
      <c r="J50" s="12"/>
      <c r="K50" s="12"/>
      <c r="L50" s="12"/>
    </row>
    <row r="51" spans="1:12" x14ac:dyDescent="0.3">
      <c r="A51" s="191"/>
      <c r="C51" s="12"/>
      <c r="D51" s="12"/>
      <c r="E51" s="12"/>
      <c r="F51" s="12"/>
      <c r="G51" s="12"/>
      <c r="H51" s="12"/>
      <c r="I51" s="12"/>
      <c r="J51" s="12"/>
      <c r="K51" s="12"/>
      <c r="L51" s="12"/>
    </row>
    <row r="52" spans="1:12" x14ac:dyDescent="0.3">
      <c r="A52" s="191"/>
      <c r="C52" s="12"/>
      <c r="D52" s="12"/>
      <c r="E52" s="12"/>
      <c r="F52" s="12"/>
      <c r="G52" s="12"/>
      <c r="H52" s="12"/>
      <c r="I52" s="12"/>
      <c r="J52" s="12"/>
      <c r="K52" s="12"/>
      <c r="L52" s="12"/>
    </row>
    <row r="53" spans="1:12" x14ac:dyDescent="0.3">
      <c r="A53" s="191"/>
      <c r="C53" s="12"/>
      <c r="D53" s="12"/>
      <c r="E53" s="12"/>
      <c r="F53" s="12"/>
      <c r="G53" s="12"/>
      <c r="H53" s="12"/>
      <c r="I53" s="12"/>
      <c r="J53" s="12"/>
      <c r="K53" s="12"/>
      <c r="L53" s="12"/>
    </row>
    <row r="54" spans="1:12" x14ac:dyDescent="0.3">
      <c r="A54" s="191"/>
      <c r="C54" s="12"/>
      <c r="D54" s="12"/>
      <c r="E54" s="12"/>
      <c r="F54" s="12"/>
      <c r="G54" s="12"/>
      <c r="H54" s="12"/>
      <c r="I54" s="12"/>
      <c r="J54" s="12"/>
      <c r="K54" s="12"/>
      <c r="L54" s="12"/>
    </row>
    <row r="55" spans="1:12" x14ac:dyDescent="0.3">
      <c r="A55" s="191"/>
      <c r="C55" s="12"/>
      <c r="D55" s="12"/>
      <c r="E55" s="12"/>
      <c r="F55" s="12"/>
      <c r="G55" s="12"/>
      <c r="H55" s="12"/>
      <c r="I55" s="12"/>
      <c r="J55" s="12"/>
      <c r="K55" s="12"/>
      <c r="L55" s="12"/>
    </row>
    <row r="56" spans="1:12" x14ac:dyDescent="0.3">
      <c r="C56" s="12"/>
      <c r="D56" s="12"/>
      <c r="E56" s="12"/>
      <c r="F56" s="12"/>
      <c r="G56" s="12"/>
      <c r="H56" s="12"/>
      <c r="I56" s="12"/>
      <c r="J56" s="12"/>
      <c r="K56" s="12"/>
      <c r="L56" s="12"/>
    </row>
    <row r="57" spans="1:12" x14ac:dyDescent="0.3">
      <c r="C57" s="12"/>
      <c r="D57" s="12"/>
      <c r="E57" s="12"/>
      <c r="F57" s="12"/>
      <c r="G57" s="12"/>
      <c r="H57" s="12"/>
      <c r="I57" s="12"/>
      <c r="J57" s="12"/>
      <c r="K57" s="12"/>
      <c r="L57" s="12"/>
    </row>
    <row r="58" spans="1:12" x14ac:dyDescent="0.3">
      <c r="C58" s="12"/>
      <c r="D58" s="12"/>
      <c r="E58" s="12"/>
      <c r="F58" s="12"/>
      <c r="G58" s="12"/>
      <c r="H58" s="12"/>
      <c r="I58" s="12"/>
      <c r="J58" s="12"/>
      <c r="K58" s="12"/>
      <c r="L58" s="12"/>
    </row>
    <row r="59" spans="1:12" x14ac:dyDescent="0.3">
      <c r="C59" s="12"/>
      <c r="D59" s="12"/>
      <c r="E59" s="12"/>
      <c r="F59" s="12"/>
      <c r="G59" s="12"/>
      <c r="H59" s="12"/>
      <c r="I59" s="12"/>
      <c r="J59" s="12"/>
      <c r="K59" s="12"/>
      <c r="L59" s="12"/>
    </row>
    <row r="60" spans="1:12" x14ac:dyDescent="0.3">
      <c r="C60" s="12"/>
      <c r="D60" s="12"/>
      <c r="E60" s="12"/>
      <c r="F60" s="12"/>
      <c r="G60" s="12"/>
      <c r="H60" s="12"/>
      <c r="I60" s="12"/>
      <c r="J60" s="12"/>
      <c r="K60" s="12"/>
      <c r="L60" s="12"/>
    </row>
    <row r="61" spans="1:12" x14ac:dyDescent="0.3">
      <c r="C61" s="12"/>
      <c r="D61" s="12"/>
      <c r="E61" s="12"/>
      <c r="F61" s="12"/>
      <c r="G61" s="12"/>
      <c r="H61" s="12"/>
      <c r="I61" s="12"/>
      <c r="J61" s="12"/>
      <c r="K61" s="12"/>
      <c r="L61" s="12"/>
    </row>
    <row r="62" spans="1:12" x14ac:dyDescent="0.3">
      <c r="C62" s="12"/>
      <c r="D62" s="12"/>
      <c r="E62" s="12"/>
      <c r="F62" s="12"/>
      <c r="G62" s="12"/>
      <c r="H62" s="12"/>
      <c r="I62" s="12"/>
      <c r="J62" s="12"/>
      <c r="K62" s="12"/>
      <c r="L62" s="12"/>
    </row>
    <row r="63" spans="1:12" x14ac:dyDescent="0.3">
      <c r="C63" s="12"/>
      <c r="D63" s="12"/>
      <c r="E63" s="12"/>
      <c r="F63" s="12"/>
      <c r="G63" s="12"/>
      <c r="H63" s="12"/>
      <c r="I63" s="12"/>
      <c r="J63" s="12"/>
      <c r="K63" s="12"/>
      <c r="L63" s="12"/>
    </row>
    <row r="64" spans="1:12" x14ac:dyDescent="0.3">
      <c r="C64" s="12"/>
      <c r="D64" s="12"/>
      <c r="E64" s="12"/>
      <c r="F64" s="12"/>
      <c r="G64" s="12"/>
      <c r="H64" s="12"/>
      <c r="I64" s="12"/>
      <c r="J64" s="12"/>
      <c r="K64" s="12"/>
      <c r="L64" s="12"/>
    </row>
    <row r="65" spans="3:12" x14ac:dyDescent="0.3">
      <c r="C65" s="12"/>
      <c r="D65" s="12"/>
      <c r="E65" s="12"/>
      <c r="F65" s="12"/>
      <c r="G65" s="12"/>
      <c r="H65" s="12"/>
      <c r="I65" s="12"/>
      <c r="J65" s="12"/>
      <c r="K65" s="12"/>
      <c r="L65" s="12"/>
    </row>
    <row r="66" spans="3:12" x14ac:dyDescent="0.3">
      <c r="C66" s="12"/>
      <c r="D66" s="12"/>
      <c r="E66" s="12"/>
      <c r="F66" s="12"/>
      <c r="G66" s="12"/>
      <c r="H66" s="12"/>
      <c r="I66" s="12"/>
      <c r="J66" s="12"/>
      <c r="K66" s="12"/>
      <c r="L66" s="12"/>
    </row>
    <row r="67" spans="3:12" x14ac:dyDescent="0.3">
      <c r="C67" s="12"/>
      <c r="D67" s="12"/>
      <c r="E67" s="12"/>
      <c r="F67" s="12"/>
      <c r="G67" s="12"/>
      <c r="H67" s="12"/>
      <c r="I67" s="12"/>
      <c r="J67" s="12"/>
      <c r="K67" s="12"/>
      <c r="L67" s="12"/>
    </row>
    <row r="68" spans="3:12" x14ac:dyDescent="0.3">
      <c r="C68" s="12"/>
      <c r="D68" s="12"/>
      <c r="E68" s="12"/>
      <c r="F68" s="12"/>
      <c r="G68" s="12"/>
      <c r="H68" s="12"/>
      <c r="I68" s="12"/>
      <c r="J68" s="12"/>
      <c r="K68" s="12"/>
      <c r="L68" s="12"/>
    </row>
    <row r="69" spans="3:12" x14ac:dyDescent="0.3">
      <c r="C69" s="12"/>
      <c r="D69" s="12"/>
      <c r="E69" s="12"/>
      <c r="F69" s="12"/>
      <c r="G69" s="12"/>
      <c r="H69" s="12"/>
      <c r="I69" s="12"/>
      <c r="J69" s="12"/>
      <c r="K69" s="12"/>
      <c r="L69" s="12"/>
    </row>
    <row r="70" spans="3:12" x14ac:dyDescent="0.3">
      <c r="C70" s="12"/>
      <c r="D70" s="12"/>
      <c r="E70" s="12"/>
      <c r="F70" s="12"/>
      <c r="G70" s="12"/>
      <c r="H70" s="12"/>
      <c r="I70" s="12"/>
      <c r="J70" s="12"/>
      <c r="K70" s="12"/>
      <c r="L70" s="12"/>
    </row>
    <row r="71" spans="3:12" x14ac:dyDescent="0.3">
      <c r="C71" s="12"/>
      <c r="D71" s="12"/>
      <c r="E71" s="12"/>
      <c r="F71" s="12"/>
      <c r="G71" s="12"/>
      <c r="H71" s="12"/>
      <c r="I71" s="12"/>
      <c r="J71" s="12"/>
      <c r="K71" s="12"/>
      <c r="L71" s="12"/>
    </row>
    <row r="72" spans="3:12" x14ac:dyDescent="0.3">
      <c r="C72" s="12"/>
      <c r="D72" s="12"/>
      <c r="E72" s="12"/>
      <c r="F72" s="12"/>
      <c r="G72" s="12"/>
      <c r="H72" s="12"/>
      <c r="I72" s="12"/>
      <c r="J72" s="12"/>
      <c r="K72" s="12"/>
      <c r="L72" s="12"/>
    </row>
    <row r="73" spans="3:12" x14ac:dyDescent="0.3">
      <c r="C73" s="12"/>
      <c r="D73" s="12"/>
      <c r="E73" s="12"/>
      <c r="F73" s="12"/>
      <c r="G73" s="12"/>
      <c r="H73" s="12"/>
      <c r="I73" s="12"/>
      <c r="J73" s="12"/>
      <c r="K73" s="12"/>
      <c r="L73" s="12"/>
    </row>
    <row r="74" spans="3:12" x14ac:dyDescent="0.3">
      <c r="C74" s="12"/>
      <c r="D74" s="12"/>
      <c r="E74" s="12"/>
      <c r="F74" s="12"/>
      <c r="G74" s="12"/>
      <c r="H74" s="12"/>
      <c r="I74" s="12"/>
      <c r="J74" s="12"/>
      <c r="K74" s="12"/>
      <c r="L74" s="12"/>
    </row>
    <row r="75" spans="3:12" x14ac:dyDescent="0.3">
      <c r="C75" s="12"/>
      <c r="D75" s="12"/>
      <c r="E75" s="12"/>
      <c r="F75" s="12"/>
      <c r="G75" s="12"/>
      <c r="H75" s="12"/>
      <c r="I75" s="12"/>
      <c r="J75" s="12"/>
      <c r="K75" s="12"/>
      <c r="L75" s="12"/>
    </row>
    <row r="76" spans="3:12" x14ac:dyDescent="0.3">
      <c r="C76" s="12"/>
      <c r="D76" s="12"/>
      <c r="E76" s="12"/>
      <c r="F76" s="12"/>
      <c r="G76" s="12"/>
      <c r="H76" s="12"/>
      <c r="I76" s="12"/>
      <c r="J76" s="12"/>
      <c r="K76" s="12"/>
      <c r="L76" s="12"/>
    </row>
    <row r="77" spans="3:12" x14ac:dyDescent="0.3">
      <c r="C77" s="12"/>
      <c r="D77" s="12"/>
      <c r="E77" s="12"/>
      <c r="F77" s="12"/>
      <c r="G77" s="12"/>
      <c r="H77" s="12"/>
      <c r="I77" s="12"/>
      <c r="J77" s="12"/>
      <c r="K77" s="12"/>
      <c r="L77" s="12"/>
    </row>
  </sheetData>
  <mergeCells count="6">
    <mergeCell ref="A41:A55"/>
    <mergeCell ref="A2:A4"/>
    <mergeCell ref="A5:A9"/>
    <mergeCell ref="A10:A15"/>
    <mergeCell ref="A21:A23"/>
    <mergeCell ref="A24:A29"/>
  </mergeCells>
  <pageMargins left="0.7" right="0.7" top="0.75" bottom="0.75" header="0.3" footer="0.3"/>
  <pageSetup paperSize="9" scale="86" orientation="landscape" horizontalDpi="4294967292" verticalDpi="300" r:id="rId1"/>
  <rowBreaks count="1" manualBreakCount="1">
    <brk id="3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README</vt:lpstr>
      <vt:lpstr>DEFINITION</vt:lpstr>
      <vt:lpstr>ASIC</vt:lpstr>
      <vt:lpstr>Data</vt:lpstr>
      <vt:lpstr>TRENDS</vt:lpstr>
      <vt:lpstr>ASIC!Print_Area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ESGA</dc:creator>
  <cp:lastModifiedBy>anastacia</cp:lastModifiedBy>
  <cp:lastPrinted>2016-11-14T04:42:14Z</cp:lastPrinted>
  <dcterms:created xsi:type="dcterms:W3CDTF">2016-02-21T07:03:55Z</dcterms:created>
  <dcterms:modified xsi:type="dcterms:W3CDTF">2018-11-20T00:31:11Z</dcterms:modified>
</cp:coreProperties>
</file>